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65\Investor Relations\Quarterly results\fy27\Q1\21 July 2026\"/>
    </mc:Choice>
  </mc:AlternateContent>
  <xr:revisionPtr revIDLastSave="0" documentId="13_ncr:1_{9210EF96-148D-4A9E-9238-8C33F25B5B07}" xr6:coauthVersionLast="47" xr6:coauthVersionMax="47" xr10:uidLastSave="{00000000-0000-0000-0000-000000000000}"/>
  <bookViews>
    <workbookView xWindow="-120" yWindow="-120" windowWidth="20730" windowHeight="11040" tabRatio="702" xr2:uid="{00000000-000D-0000-FFFF-FFFF00000000}"/>
  </bookViews>
  <sheets>
    <sheet name="Index" sheetId="3" r:id="rId1"/>
    <sheet name="Print Page" sheetId="25" state="hidden" r:id="rId2"/>
    <sheet name="P&amp;L" sheetId="18" r:id="rId3"/>
    <sheet name="BS" sheetId="21" r:id="rId4"/>
    <sheet name="Operational" sheetId="9" r:id="rId5"/>
    <sheet name="Credit Quality" sheetId="22" r:id="rId6"/>
    <sheet name="Yields, Margins &amp; Ratios" sheetId="26" r:id="rId7"/>
    <sheet name="Liabilities" sheetId="7" r:id="rId8"/>
    <sheet name="Data for Charts" sheetId="24" state="hidden" r:id="rId9"/>
    <sheet name="Story in Charts" sheetId="23" r:id="rId10"/>
  </sheets>
  <externalReferences>
    <externalReference r:id="rId11"/>
  </externalReferences>
  <definedNames>
    <definedName name="_xlnm.Print_Area" localSheetId="1">'Print Page'!$B$2:$Q$404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7" i="26" l="1"/>
  <c r="AE17" i="26"/>
  <c r="AD17" i="26"/>
  <c r="AC17" i="26"/>
  <c r="AB17" i="26"/>
  <c r="AF19" i="26"/>
  <c r="AE19" i="26"/>
  <c r="AD19" i="26"/>
  <c r="AC19" i="26"/>
  <c r="AB19" i="26"/>
  <c r="AD18" i="26"/>
  <c r="AA19" i="26"/>
  <c r="AA17" i="26"/>
  <c r="R19" i="26"/>
  <c r="Q19" i="26"/>
  <c r="P19" i="26"/>
  <c r="O19" i="26"/>
  <c r="N19" i="26"/>
  <c r="N18" i="26" s="1"/>
  <c r="M19" i="26"/>
  <c r="M18" i="26" s="1"/>
  <c r="L19" i="26"/>
  <c r="K19" i="26"/>
  <c r="J19" i="26"/>
  <c r="I19" i="26"/>
  <c r="H19" i="26"/>
  <c r="G19" i="26"/>
  <c r="F19" i="26"/>
  <c r="E19" i="26"/>
  <c r="D19" i="26"/>
  <c r="C19" i="26"/>
  <c r="V19" i="26"/>
  <c r="U19" i="26"/>
  <c r="T19" i="26"/>
  <c r="S19" i="26"/>
  <c r="U18" i="26"/>
  <c r="W19" i="26"/>
  <c r="J17" i="26"/>
  <c r="I17" i="26"/>
  <c r="H17" i="26"/>
  <c r="G17" i="26"/>
  <c r="F17" i="26"/>
  <c r="E17" i="26"/>
  <c r="D17" i="26"/>
  <c r="C17" i="26"/>
  <c r="R17" i="26"/>
  <c r="Q17" i="26"/>
  <c r="P17" i="26"/>
  <c r="O17" i="26"/>
  <c r="V17" i="26"/>
  <c r="U17" i="26"/>
  <c r="T17" i="26"/>
  <c r="S17" i="26"/>
  <c r="W17" i="26"/>
  <c r="AF23" i="26"/>
  <c r="AE23" i="26"/>
  <c r="AD23" i="26"/>
  <c r="AC23" i="26"/>
  <c r="AB23" i="26"/>
  <c r="AA23" i="26"/>
  <c r="Z23" i="26"/>
  <c r="AF22" i="26"/>
  <c r="AE22" i="26"/>
  <c r="AD22" i="26"/>
  <c r="AC22" i="26"/>
  <c r="AB22" i="26"/>
  <c r="AA22" i="26"/>
  <c r="Z22" i="26"/>
  <c r="Y23" i="26"/>
  <c r="Y22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W67" i="9"/>
  <c r="W5" i="18"/>
  <c r="AJ17" i="18"/>
  <c r="AI17" i="18"/>
  <c r="Y17" i="18"/>
  <c r="X17" i="18"/>
  <c r="AG25" i="18"/>
  <c r="AF25" i="18"/>
  <c r="AE25" i="18"/>
  <c r="AD25" i="18"/>
  <c r="AC25" i="18"/>
  <c r="AH25" i="18"/>
  <c r="AG23" i="18"/>
  <c r="AF23" i="18"/>
  <c r="AE23" i="18"/>
  <c r="AD23" i="18"/>
  <c r="AC23" i="18"/>
  <c r="AH23" i="18"/>
  <c r="AG21" i="18"/>
  <c r="AF21" i="18"/>
  <c r="AE21" i="18"/>
  <c r="AD21" i="18"/>
  <c r="AC21" i="18"/>
  <c r="AA16" i="26" s="1"/>
  <c r="AH21" i="18"/>
  <c r="AG19" i="18"/>
  <c r="AF19" i="18"/>
  <c r="AE19" i="18"/>
  <c r="AD19" i="18"/>
  <c r="AC19" i="18"/>
  <c r="AH19" i="18"/>
  <c r="AG18" i="18"/>
  <c r="AF18" i="18"/>
  <c r="AE18" i="18"/>
  <c r="AD18" i="18"/>
  <c r="AB14" i="26" s="1"/>
  <c r="AC18" i="18"/>
  <c r="AA14" i="26" s="1"/>
  <c r="AH18" i="18"/>
  <c r="AF14" i="26" s="1"/>
  <c r="V25" i="18"/>
  <c r="U25" i="18"/>
  <c r="T25" i="18"/>
  <c r="S25" i="18"/>
  <c r="R25" i="18"/>
  <c r="Q25" i="18"/>
  <c r="P25" i="18"/>
  <c r="O25" i="18"/>
  <c r="N25" i="18"/>
  <c r="M25" i="18"/>
  <c r="L25" i="18"/>
  <c r="K25" i="18"/>
  <c r="W25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W23" i="18"/>
  <c r="V21" i="18"/>
  <c r="U21" i="18"/>
  <c r="T21" i="18"/>
  <c r="S21" i="18"/>
  <c r="S16" i="26" s="1"/>
  <c r="R21" i="18"/>
  <c r="Q21" i="18"/>
  <c r="P21" i="18"/>
  <c r="O21" i="18"/>
  <c r="O16" i="26" s="1"/>
  <c r="N21" i="18"/>
  <c r="M21" i="18"/>
  <c r="L21" i="18"/>
  <c r="K21" i="18"/>
  <c r="W21" i="18"/>
  <c r="W16" i="26" s="1"/>
  <c r="V19" i="18"/>
  <c r="U19" i="18"/>
  <c r="T19" i="18"/>
  <c r="S19" i="18"/>
  <c r="R19" i="18"/>
  <c r="Q19" i="18"/>
  <c r="P19" i="18"/>
  <c r="O19" i="18"/>
  <c r="N19" i="18"/>
  <c r="M19" i="18"/>
  <c r="L19" i="18"/>
  <c r="K19" i="18"/>
  <c r="W19" i="18"/>
  <c r="V18" i="18"/>
  <c r="U18" i="18"/>
  <c r="T18" i="18"/>
  <c r="S18" i="18"/>
  <c r="S14" i="26" s="1"/>
  <c r="R18" i="18"/>
  <c r="R14" i="26" s="1"/>
  <c r="Q18" i="18"/>
  <c r="Q14" i="26" s="1"/>
  <c r="P18" i="18"/>
  <c r="P14" i="26" s="1"/>
  <c r="O18" i="18"/>
  <c r="O14" i="26" s="1"/>
  <c r="N18" i="18"/>
  <c r="M18" i="18"/>
  <c r="L18" i="18"/>
  <c r="K18" i="18"/>
  <c r="K14" i="26" s="1"/>
  <c r="W18" i="18"/>
  <c r="W14" i="26" s="1"/>
  <c r="Z19" i="26"/>
  <c r="Z18" i="26" s="1"/>
  <c r="Z17" i="26"/>
  <c r="AF16" i="26"/>
  <c r="AE16" i="26"/>
  <c r="AD16" i="26"/>
  <c r="AC16" i="26"/>
  <c r="AB16" i="26"/>
  <c r="Z16" i="26"/>
  <c r="AF15" i="26"/>
  <c r="AE15" i="26"/>
  <c r="AD15" i="26"/>
  <c r="AC15" i="26"/>
  <c r="AB15" i="26"/>
  <c r="AA15" i="26"/>
  <c r="Z15" i="26"/>
  <c r="AE14" i="26"/>
  <c r="AD14" i="26"/>
  <c r="AC14" i="26"/>
  <c r="Z14" i="26"/>
  <c r="AF13" i="26"/>
  <c r="AE13" i="26"/>
  <c r="AD13" i="26"/>
  <c r="AC13" i="26"/>
  <c r="AB13" i="26"/>
  <c r="AA13" i="26"/>
  <c r="Z13" i="26"/>
  <c r="AF12" i="26"/>
  <c r="AE12" i="26"/>
  <c r="AD12" i="26"/>
  <c r="AC12" i="26"/>
  <c r="AB12" i="26"/>
  <c r="AA12" i="26"/>
  <c r="Z12" i="26"/>
  <c r="AF11" i="26"/>
  <c r="AE11" i="26"/>
  <c r="AD11" i="26"/>
  <c r="AC11" i="26"/>
  <c r="AB11" i="26"/>
  <c r="AA11" i="26"/>
  <c r="Z11" i="26"/>
  <c r="AF10" i="26"/>
  <c r="AE10" i="26"/>
  <c r="AD10" i="26"/>
  <c r="AC10" i="26"/>
  <c r="AB10" i="26"/>
  <c r="AA10" i="26"/>
  <c r="Z10" i="26"/>
  <c r="Y19" i="26"/>
  <c r="Y17" i="26"/>
  <c r="Y16" i="26"/>
  <c r="Y15" i="26"/>
  <c r="Y14" i="26"/>
  <c r="Y13" i="26"/>
  <c r="Y12" i="26"/>
  <c r="Y11" i="26"/>
  <c r="Y10" i="26"/>
  <c r="V18" i="26"/>
  <c r="N17" i="26"/>
  <c r="M17" i="26"/>
  <c r="L17" i="26"/>
  <c r="K17" i="26"/>
  <c r="V16" i="26"/>
  <c r="U16" i="26"/>
  <c r="T16" i="26"/>
  <c r="R16" i="26"/>
  <c r="Q16" i="26"/>
  <c r="P16" i="26"/>
  <c r="N16" i="26"/>
  <c r="M16" i="26"/>
  <c r="L16" i="26"/>
  <c r="K16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V14" i="26"/>
  <c r="U14" i="26"/>
  <c r="T14" i="26"/>
  <c r="N14" i="26"/>
  <c r="M14" i="26"/>
  <c r="L14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W15" i="26"/>
  <c r="W13" i="26"/>
  <c r="W12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W11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W10" i="26"/>
  <c r="AC18" i="26" l="1"/>
  <c r="AA18" i="26"/>
  <c r="K18" i="26"/>
  <c r="L18" i="26"/>
  <c r="R18" i="26"/>
  <c r="S18" i="26"/>
  <c r="T18" i="26"/>
  <c r="AB18" i="26"/>
  <c r="AE18" i="26"/>
  <c r="AF18" i="26"/>
  <c r="O18" i="26"/>
  <c r="P18" i="26"/>
  <c r="Q18" i="26"/>
  <c r="Y18" i="26"/>
  <c r="D10" i="18" l="1"/>
  <c r="C10" i="18"/>
  <c r="AD10" i="18" l="1"/>
  <c r="AC10" i="18"/>
  <c r="F10" i="18"/>
  <c r="E10" i="18" l="1"/>
  <c r="I10" i="18"/>
  <c r="H10" i="18"/>
  <c r="G10" i="18"/>
  <c r="K10" i="18" l="1"/>
  <c r="AF10" i="18" l="1"/>
  <c r="AE10" i="18"/>
  <c r="J10" i="18"/>
  <c r="M10" i="18"/>
  <c r="L10" i="18"/>
  <c r="N10" i="18"/>
  <c r="R10" i="18"/>
  <c r="Q10" i="18"/>
  <c r="P10" i="18"/>
  <c r="O10" i="18"/>
  <c r="W10" i="18" l="1"/>
  <c r="V10" i="18"/>
  <c r="U10" i="18"/>
  <c r="T10" i="18"/>
  <c r="S10" i="18"/>
  <c r="AG10" i="18"/>
  <c r="AH10" i="18"/>
  <c r="AG9" i="18" l="1"/>
  <c r="AG15" i="18" s="1"/>
  <c r="H37" i="24" s="1"/>
  <c r="AF9" i="18"/>
  <c r="AF15" i="18" s="1"/>
  <c r="G37" i="24" s="1"/>
  <c r="AE9" i="18"/>
  <c r="AE5" i="18" s="1"/>
  <c r="AD9" i="18"/>
  <c r="AC9" i="18"/>
  <c r="AC15" i="18" s="1"/>
  <c r="D37" i="24" s="1"/>
  <c r="W9" i="18"/>
  <c r="V9" i="18"/>
  <c r="V5" i="18" s="1"/>
  <c r="U9" i="18"/>
  <c r="U5" i="18" s="1"/>
  <c r="M5" i="25" s="1"/>
  <c r="T9" i="18"/>
  <c r="T15" i="18" s="1"/>
  <c r="L13" i="25" s="1"/>
  <c r="S9" i="18"/>
  <c r="S15" i="18" s="1"/>
  <c r="R9" i="18"/>
  <c r="R15" i="18" s="1"/>
  <c r="Q9" i="18"/>
  <c r="Q15" i="18" s="1"/>
  <c r="P9" i="18"/>
  <c r="P5" i="18" s="1"/>
  <c r="O9" i="18"/>
  <c r="O5" i="18" s="1"/>
  <c r="N9" i="18"/>
  <c r="N5" i="18" s="1"/>
  <c r="M9" i="18"/>
  <c r="M5" i="18" s="1"/>
  <c r="L9" i="18"/>
  <c r="L5" i="18" s="1"/>
  <c r="K9" i="18"/>
  <c r="J9" i="18"/>
  <c r="J5" i="18" s="1"/>
  <c r="I9" i="18"/>
  <c r="I15" i="18" s="1"/>
  <c r="H9" i="18"/>
  <c r="H15" i="18" s="1"/>
  <c r="G9" i="18"/>
  <c r="G15" i="18" s="1"/>
  <c r="F9" i="18"/>
  <c r="F15" i="18" s="1"/>
  <c r="E9" i="18"/>
  <c r="E15" i="18" s="1"/>
  <c r="D9" i="18"/>
  <c r="D5" i="18" s="1"/>
  <c r="C9" i="18"/>
  <c r="C15" i="18" s="1"/>
  <c r="AH8" i="18"/>
  <c r="AG8" i="18"/>
  <c r="AF8" i="18"/>
  <c r="AE8" i="18"/>
  <c r="AD8" i="18"/>
  <c r="AD15" i="18"/>
  <c r="E37" i="24" s="1"/>
  <c r="AC8" i="18"/>
  <c r="V8" i="18"/>
  <c r="U8" i="18"/>
  <c r="T8" i="18"/>
  <c r="S8" i="18"/>
  <c r="R8" i="18"/>
  <c r="Q8" i="18"/>
  <c r="P8" i="18"/>
  <c r="O8" i="18"/>
  <c r="N8" i="18"/>
  <c r="M8" i="18"/>
  <c r="L8" i="18"/>
  <c r="K8" i="18"/>
  <c r="K15" i="18"/>
  <c r="J8" i="18"/>
  <c r="I8" i="18"/>
  <c r="H8" i="18"/>
  <c r="G8" i="18"/>
  <c r="F8" i="18"/>
  <c r="E8" i="18"/>
  <c r="D8" i="18"/>
  <c r="D15" i="18"/>
  <c r="C8" i="18"/>
  <c r="W8" i="18"/>
  <c r="AG5" i="18"/>
  <c r="AD5" i="18"/>
  <c r="AC5" i="18"/>
  <c r="R5" i="18"/>
  <c r="K5" i="18"/>
  <c r="I5" i="18"/>
  <c r="C5" i="18"/>
  <c r="O342" i="25"/>
  <c r="O341" i="25"/>
  <c r="O338" i="25"/>
  <c r="O337" i="25"/>
  <c r="O326" i="25"/>
  <c r="O325" i="25"/>
  <c r="O323" i="25"/>
  <c r="O322" i="25"/>
  <c r="O321" i="25"/>
  <c r="O320" i="25"/>
  <c r="O319" i="25"/>
  <c r="W3" i="9"/>
  <c r="W3" i="22"/>
  <c r="W14" i="22"/>
  <c r="O195" i="25"/>
  <c r="O286" i="25"/>
  <c r="O317" i="25"/>
  <c r="O312" i="25"/>
  <c r="O311" i="25"/>
  <c r="O310" i="25"/>
  <c r="O308" i="25"/>
  <c r="O307" i="25"/>
  <c r="W23" i="26"/>
  <c r="O306" i="25" s="1"/>
  <c r="W18" i="26"/>
  <c r="O301" i="25" s="1"/>
  <c r="O302" i="25"/>
  <c r="O300" i="25"/>
  <c r="O299" i="25"/>
  <c r="O298" i="25"/>
  <c r="O297" i="25"/>
  <c r="O294" i="25"/>
  <c r="O293" i="25"/>
  <c r="O290" i="25"/>
  <c r="O289" i="25"/>
  <c r="O288" i="25"/>
  <c r="O213" i="25"/>
  <c r="O212" i="25"/>
  <c r="O211" i="25"/>
  <c r="O210" i="25"/>
  <c r="O209" i="25"/>
  <c r="O208" i="25"/>
  <c r="O207" i="25"/>
  <c r="O206" i="25"/>
  <c r="O205" i="25"/>
  <c r="O204" i="25"/>
  <c r="O203" i="25"/>
  <c r="O202" i="25"/>
  <c r="O201" i="25"/>
  <c r="O200" i="25"/>
  <c r="O199" i="25"/>
  <c r="O198" i="25"/>
  <c r="O197" i="25"/>
  <c r="O196" i="25"/>
  <c r="O193" i="25"/>
  <c r="O192" i="25"/>
  <c r="W9" i="22"/>
  <c r="O190" i="25" s="1"/>
  <c r="O189" i="25"/>
  <c r="O188" i="25"/>
  <c r="O187" i="25"/>
  <c r="O186" i="25"/>
  <c r="O185" i="25"/>
  <c r="O181" i="25"/>
  <c r="O180" i="25"/>
  <c r="O179" i="25"/>
  <c r="O178" i="25"/>
  <c r="O177" i="25"/>
  <c r="O174" i="25"/>
  <c r="O173" i="25"/>
  <c r="O172" i="25"/>
  <c r="O171" i="25"/>
  <c r="O170" i="25"/>
  <c r="O169" i="25"/>
  <c r="O168" i="25"/>
  <c r="O167" i="25"/>
  <c r="O166" i="25"/>
  <c r="O165" i="25"/>
  <c r="O164" i="25"/>
  <c r="O163" i="25"/>
  <c r="O162" i="25"/>
  <c r="O161" i="25"/>
  <c r="O160" i="25"/>
  <c r="O159" i="25"/>
  <c r="O156" i="25"/>
  <c r="O155" i="25"/>
  <c r="O154" i="25"/>
  <c r="O153" i="25"/>
  <c r="O152" i="25"/>
  <c r="O151" i="25"/>
  <c r="O150" i="25"/>
  <c r="O149" i="25"/>
  <c r="O148" i="25"/>
  <c r="O147" i="25"/>
  <c r="O4" i="25"/>
  <c r="O45" i="25"/>
  <c r="O146" i="25"/>
  <c r="O158" i="25"/>
  <c r="O176" i="25"/>
  <c r="O184" i="25"/>
  <c r="O72" i="25"/>
  <c r="O71" i="25"/>
  <c r="O69" i="25"/>
  <c r="O68" i="25"/>
  <c r="O66" i="25"/>
  <c r="O65" i="25"/>
  <c r="O63" i="25"/>
  <c r="O62" i="25"/>
  <c r="O61" i="25"/>
  <c r="O60" i="25"/>
  <c r="O59" i="25"/>
  <c r="O57" i="25"/>
  <c r="O56" i="25"/>
  <c r="O55" i="25"/>
  <c r="O54" i="25"/>
  <c r="O52" i="25"/>
  <c r="O51" i="25"/>
  <c r="O50" i="25"/>
  <c r="O49" i="25"/>
  <c r="O47" i="25"/>
  <c r="O46" i="25"/>
  <c r="O42" i="25"/>
  <c r="O41" i="25"/>
  <c r="O40" i="25"/>
  <c r="O39" i="25"/>
  <c r="O38" i="25"/>
  <c r="O37" i="25"/>
  <c r="O35" i="25"/>
  <c r="O34" i="25"/>
  <c r="O33" i="25"/>
  <c r="O32" i="25"/>
  <c r="O31" i="25"/>
  <c r="O30" i="25"/>
  <c r="O29" i="25"/>
  <c r="O10" i="25"/>
  <c r="O25" i="25"/>
  <c r="O24" i="25"/>
  <c r="O23" i="25"/>
  <c r="O22" i="25"/>
  <c r="O21" i="25"/>
  <c r="O20" i="25"/>
  <c r="O19" i="25"/>
  <c r="O18" i="25"/>
  <c r="O17" i="25"/>
  <c r="O16" i="25"/>
  <c r="O15" i="25"/>
  <c r="O14" i="25"/>
  <c r="O12" i="25"/>
  <c r="O11" i="25"/>
  <c r="O8" i="25"/>
  <c r="O7" i="25"/>
  <c r="O6" i="25"/>
  <c r="W66" i="9"/>
  <c r="W13" i="9"/>
  <c r="W34" i="22"/>
  <c r="W33" i="22"/>
  <c r="W35" i="22"/>
  <c r="W31" i="22"/>
  <c r="W30" i="22"/>
  <c r="W25" i="22"/>
  <c r="W24" i="22"/>
  <c r="W19" i="22"/>
  <c r="W18" i="22"/>
  <c r="W15" i="22"/>
  <c r="W29" i="26"/>
  <c r="W20" i="21"/>
  <c r="W8" i="21"/>
  <c r="W28" i="26"/>
  <c r="W27" i="26"/>
  <c r="Y27" i="18"/>
  <c r="Y26" i="18"/>
  <c r="Y25" i="18"/>
  <c r="Q23" i="25" s="1"/>
  <c r="Y23" i="18"/>
  <c r="Y21" i="18"/>
  <c r="Y20" i="18"/>
  <c r="Y19" i="18"/>
  <c r="Y18" i="18"/>
  <c r="Q16" i="25" s="1"/>
  <c r="Y16" i="18"/>
  <c r="Y8" i="18"/>
  <c r="Y7" i="18"/>
  <c r="Y6" i="18"/>
  <c r="W60" i="9"/>
  <c r="V60" i="9"/>
  <c r="W68" i="9"/>
  <c r="W65" i="9"/>
  <c r="W64" i="9"/>
  <c r="W42" i="9"/>
  <c r="W29" i="9"/>
  <c r="W10" i="7"/>
  <c r="W15" i="7"/>
  <c r="O329" i="25"/>
  <c r="W7" i="26"/>
  <c r="W3" i="26"/>
  <c r="W3" i="7"/>
  <c r="W30" i="26"/>
  <c r="O313" i="25"/>
  <c r="W20" i="7"/>
  <c r="O334" i="25"/>
  <c r="W12" i="21"/>
  <c r="X27" i="18"/>
  <c r="X26" i="18"/>
  <c r="X25" i="18"/>
  <c r="P23" i="25" s="1"/>
  <c r="X23" i="18"/>
  <c r="P21" i="25" s="1"/>
  <c r="X21" i="18"/>
  <c r="X20" i="18"/>
  <c r="X19" i="18"/>
  <c r="X18" i="18"/>
  <c r="P16" i="25" s="1"/>
  <c r="X16" i="18"/>
  <c r="X8" i="18"/>
  <c r="X7" i="18"/>
  <c r="X6" i="18"/>
  <c r="J393" i="25"/>
  <c r="J402" i="25"/>
  <c r="J401" i="25"/>
  <c r="J398" i="25"/>
  <c r="J397" i="25"/>
  <c r="J394" i="25"/>
  <c r="J392" i="25"/>
  <c r="J391" i="25"/>
  <c r="J390" i="25"/>
  <c r="J389" i="25"/>
  <c r="J386" i="25"/>
  <c r="J385" i="25"/>
  <c r="J383" i="25"/>
  <c r="J382" i="25"/>
  <c r="J381" i="25"/>
  <c r="J380" i="25"/>
  <c r="J379" i="25"/>
  <c r="J377" i="25"/>
  <c r="J373" i="25"/>
  <c r="J372" i="25"/>
  <c r="J371" i="25"/>
  <c r="J370" i="25"/>
  <c r="J368" i="25"/>
  <c r="J367" i="25"/>
  <c r="J366" i="25"/>
  <c r="J365" i="25"/>
  <c r="J362" i="25"/>
  <c r="J361" i="25"/>
  <c r="J360" i="25"/>
  <c r="J359" i="25"/>
  <c r="J358" i="25"/>
  <c r="J357" i="25"/>
  <c r="J356" i="25"/>
  <c r="J355" i="25"/>
  <c r="J354" i="25"/>
  <c r="J353" i="25"/>
  <c r="J350" i="25"/>
  <c r="J349" i="25"/>
  <c r="J348" i="25"/>
  <c r="J346" i="25"/>
  <c r="N342" i="25"/>
  <c r="N341" i="25"/>
  <c r="N338" i="25"/>
  <c r="N337" i="25"/>
  <c r="N333" i="25"/>
  <c r="N332" i="25"/>
  <c r="N331" i="25"/>
  <c r="N330" i="25"/>
  <c r="N329" i="25"/>
  <c r="N326" i="25"/>
  <c r="N325" i="25"/>
  <c r="N323" i="25"/>
  <c r="N322" i="25"/>
  <c r="N321" i="25"/>
  <c r="N320" i="25"/>
  <c r="N319" i="25"/>
  <c r="M286" i="25"/>
  <c r="N313" i="25"/>
  <c r="N312" i="25"/>
  <c r="N311" i="25"/>
  <c r="N310" i="25"/>
  <c r="N308" i="25"/>
  <c r="N307" i="25"/>
  <c r="N306" i="25"/>
  <c r="N305" i="25"/>
  <c r="N302" i="25"/>
  <c r="N301" i="25"/>
  <c r="N300" i="25"/>
  <c r="N299" i="25"/>
  <c r="N298" i="25"/>
  <c r="N297" i="25"/>
  <c r="N296" i="25"/>
  <c r="N295" i="25"/>
  <c r="N294" i="25"/>
  <c r="N293" i="25"/>
  <c r="N289" i="25"/>
  <c r="N288" i="25"/>
  <c r="J283" i="25"/>
  <c r="J282" i="25"/>
  <c r="J281" i="25"/>
  <c r="J277" i="25"/>
  <c r="J278" i="25"/>
  <c r="J279" i="25"/>
  <c r="J280" i="25"/>
  <c r="J276" i="25"/>
  <c r="J272" i="25"/>
  <c r="J273" i="25"/>
  <c r="J274" i="25"/>
  <c r="J275" i="25"/>
  <c r="J271" i="25"/>
  <c r="J261" i="25"/>
  <c r="J265" i="25"/>
  <c r="J266" i="25"/>
  <c r="J267" i="25"/>
  <c r="J268" i="25"/>
  <c r="J269" i="25"/>
  <c r="J270" i="25"/>
  <c r="J243" i="25"/>
  <c r="J216" i="25"/>
  <c r="J228" i="25"/>
  <c r="J246" i="25"/>
  <c r="J254" i="25"/>
  <c r="J217" i="25"/>
  <c r="J218" i="25"/>
  <c r="J219" i="25"/>
  <c r="J220" i="25"/>
  <c r="J221" i="25"/>
  <c r="J222" i="25"/>
  <c r="J223" i="25"/>
  <c r="J224" i="25"/>
  <c r="J225" i="25"/>
  <c r="J226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N72" i="25"/>
  <c r="N69" i="25"/>
  <c r="N68" i="25"/>
  <c r="N66" i="25"/>
  <c r="N65" i="25"/>
  <c r="N63" i="25"/>
  <c r="N62" i="25"/>
  <c r="N61" i="25"/>
  <c r="N60" i="25"/>
  <c r="N59" i="25"/>
  <c r="N57" i="25"/>
  <c r="N56" i="25"/>
  <c r="N55" i="25"/>
  <c r="N54" i="25"/>
  <c r="N52" i="25"/>
  <c r="N51" i="25"/>
  <c r="N49" i="25"/>
  <c r="N47" i="25"/>
  <c r="N46" i="25"/>
  <c r="N208" i="25"/>
  <c r="N207" i="25"/>
  <c r="N206" i="25"/>
  <c r="N203" i="25"/>
  <c r="N202" i="25"/>
  <c r="N201" i="25"/>
  <c r="N198" i="25"/>
  <c r="N197" i="25"/>
  <c r="N196" i="25"/>
  <c r="N193" i="25"/>
  <c r="N192" i="25"/>
  <c r="N189" i="25"/>
  <c r="N188" i="25"/>
  <c r="N187" i="25"/>
  <c r="N186" i="25"/>
  <c r="N185" i="25"/>
  <c r="N148" i="25"/>
  <c r="N149" i="25"/>
  <c r="N150" i="25"/>
  <c r="N151" i="25"/>
  <c r="N152" i="25"/>
  <c r="N153" i="25"/>
  <c r="N154" i="25"/>
  <c r="N155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47" i="25"/>
  <c r="J116" i="25"/>
  <c r="J143" i="25"/>
  <c r="J140" i="25"/>
  <c r="J139" i="25"/>
  <c r="J137" i="25"/>
  <c r="J136" i="25"/>
  <c r="J134" i="25"/>
  <c r="J133" i="25"/>
  <c r="J132" i="25"/>
  <c r="J131" i="25"/>
  <c r="J130" i="25"/>
  <c r="J128" i="25"/>
  <c r="J127" i="25"/>
  <c r="J126" i="25"/>
  <c r="J125" i="25"/>
  <c r="J123" i="25"/>
  <c r="J122" i="25"/>
  <c r="J120" i="25"/>
  <c r="J118" i="25"/>
  <c r="J108" i="25"/>
  <c r="J98" i="25"/>
  <c r="J96" i="25"/>
  <c r="J95" i="25"/>
  <c r="J94" i="25"/>
  <c r="J93" i="25"/>
  <c r="J92" i="25"/>
  <c r="J91" i="25"/>
  <c r="J90" i="25"/>
  <c r="J89" i="25"/>
  <c r="J88" i="25"/>
  <c r="J87" i="25"/>
  <c r="J86" i="25"/>
  <c r="J85" i="25"/>
  <c r="J83" i="25"/>
  <c r="J82" i="25"/>
  <c r="J79" i="25"/>
  <c r="J78" i="25"/>
  <c r="J77" i="25"/>
  <c r="N29" i="25"/>
  <c r="N30" i="25"/>
  <c r="N32" i="25"/>
  <c r="N33" i="25"/>
  <c r="N34" i="25"/>
  <c r="N37" i="25"/>
  <c r="N38" i="25"/>
  <c r="N39" i="25"/>
  <c r="N40" i="25"/>
  <c r="N41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2" i="25"/>
  <c r="N11" i="25"/>
  <c r="N10" i="25"/>
  <c r="N8" i="25"/>
  <c r="N7" i="25"/>
  <c r="N6" i="25"/>
  <c r="N4" i="25"/>
  <c r="N45" i="25"/>
  <c r="N146" i="25"/>
  <c r="N158" i="25"/>
  <c r="N176" i="25"/>
  <c r="N184" i="25"/>
  <c r="AT12" i="9"/>
  <c r="AT13" i="9"/>
  <c r="AT14" i="9"/>
  <c r="AT15" i="9"/>
  <c r="J244" i="25"/>
  <c r="V29" i="9"/>
  <c r="N71" i="25"/>
  <c r="U9" i="22"/>
  <c r="I65" i="24"/>
  <c r="I60" i="24"/>
  <c r="I58" i="24"/>
  <c r="I57" i="24"/>
  <c r="I56" i="24"/>
  <c r="I41" i="24"/>
  <c r="I38" i="24"/>
  <c r="M38" i="24" s="1"/>
  <c r="P32" i="24"/>
  <c r="P31" i="24"/>
  <c r="I26" i="24"/>
  <c r="I25" i="24"/>
  <c r="I24" i="24"/>
  <c r="S6" i="24"/>
  <c r="V34" i="22"/>
  <c r="V33" i="22"/>
  <c r="N211" i="25"/>
  <c r="V31" i="22"/>
  <c r="N210" i="25"/>
  <c r="V30" i="22"/>
  <c r="N209" i="25"/>
  <c r="V25" i="22"/>
  <c r="N205" i="25"/>
  <c r="V24" i="22"/>
  <c r="N204" i="25"/>
  <c r="V19" i="22"/>
  <c r="N200" i="25"/>
  <c r="V18" i="22"/>
  <c r="N199" i="25"/>
  <c r="AF12" i="22"/>
  <c r="J263" i="25"/>
  <c r="AF11" i="22"/>
  <c r="J262" i="25"/>
  <c r="AF8" i="22"/>
  <c r="J259" i="25"/>
  <c r="AF7" i="22"/>
  <c r="J258" i="25"/>
  <c r="AF6" i="22"/>
  <c r="J257" i="25"/>
  <c r="AF5" i="22"/>
  <c r="J256" i="25"/>
  <c r="AF4" i="22"/>
  <c r="J255" i="25"/>
  <c r="V42" i="9"/>
  <c r="N156" i="25"/>
  <c r="J20" i="24"/>
  <c r="AF8" i="9"/>
  <c r="J121" i="25"/>
  <c r="V8" i="9"/>
  <c r="N50" i="25"/>
  <c r="V35" i="22"/>
  <c r="N213" i="25"/>
  <c r="N212" i="25"/>
  <c r="AF67" i="9"/>
  <c r="J250" i="25"/>
  <c r="V67" i="9"/>
  <c r="N180" i="25"/>
  <c r="V65" i="9"/>
  <c r="N178" i="25"/>
  <c r="N174" i="25"/>
  <c r="V7" i="26"/>
  <c r="N290" i="25"/>
  <c r="AF10" i="7"/>
  <c r="J384" i="25"/>
  <c r="V10" i="7"/>
  <c r="N324" i="25"/>
  <c r="V20" i="7"/>
  <c r="N334" i="25"/>
  <c r="I62" i="24"/>
  <c r="AF4" i="9"/>
  <c r="V3" i="9"/>
  <c r="V3" i="22"/>
  <c r="V3" i="26"/>
  <c r="V3" i="7"/>
  <c r="AF19" i="21"/>
  <c r="J113" i="25"/>
  <c r="AF18" i="21"/>
  <c r="AF17" i="21"/>
  <c r="AF16" i="21"/>
  <c r="J110" i="25"/>
  <c r="AF15" i="21"/>
  <c r="AF11" i="21"/>
  <c r="J105" i="25"/>
  <c r="AF10" i="21"/>
  <c r="J104" i="25"/>
  <c r="AF9" i="21"/>
  <c r="AF7" i="21"/>
  <c r="J101" i="25"/>
  <c r="AF6" i="21"/>
  <c r="V8" i="21"/>
  <c r="N31" i="25"/>
  <c r="V20" i="21"/>
  <c r="N42" i="25"/>
  <c r="J117" i="25"/>
  <c r="AF29" i="9"/>
  <c r="J142" i="25"/>
  <c r="AF65" i="9"/>
  <c r="J248" i="25"/>
  <c r="AG17" i="21"/>
  <c r="J111" i="25"/>
  <c r="AG18" i="21"/>
  <c r="J112" i="25"/>
  <c r="AG9" i="21"/>
  <c r="J103" i="25"/>
  <c r="I42" i="24"/>
  <c r="J100" i="25"/>
  <c r="AG15" i="21"/>
  <c r="J109" i="25"/>
  <c r="V14" i="22"/>
  <c r="N195" i="25"/>
  <c r="N286" i="25"/>
  <c r="N317" i="25"/>
  <c r="AF20" i="21"/>
  <c r="V9" i="22"/>
  <c r="N190" i="25"/>
  <c r="V12" i="21"/>
  <c r="AF8" i="21"/>
  <c r="J102" i="25"/>
  <c r="AJ27" i="18"/>
  <c r="L96" i="25"/>
  <c r="AJ26" i="18"/>
  <c r="L95" i="25"/>
  <c r="AJ25" i="18"/>
  <c r="L94" i="25" s="1"/>
  <c r="AJ23" i="18"/>
  <c r="L92" i="25" s="1"/>
  <c r="AJ21" i="18"/>
  <c r="L90" i="25"/>
  <c r="AJ20" i="18"/>
  <c r="L89" i="25"/>
  <c r="AJ19" i="18"/>
  <c r="L88" i="25" s="1"/>
  <c r="AJ18" i="18"/>
  <c r="L87" i="25" s="1"/>
  <c r="AJ16" i="18"/>
  <c r="L85" i="25"/>
  <c r="AJ8" i="18"/>
  <c r="L79" i="25"/>
  <c r="AJ7" i="18"/>
  <c r="L78" i="25"/>
  <c r="AJ6" i="18"/>
  <c r="L77" i="25"/>
  <c r="AI27" i="18"/>
  <c r="K96" i="25"/>
  <c r="AI26" i="18"/>
  <c r="K95" i="25"/>
  <c r="AI25" i="18"/>
  <c r="K94" i="25" s="1"/>
  <c r="AI23" i="18"/>
  <c r="K92" i="25" s="1"/>
  <c r="AI21" i="18"/>
  <c r="K90" i="25"/>
  <c r="AI20" i="18"/>
  <c r="K89" i="25"/>
  <c r="AI19" i="18"/>
  <c r="K88" i="25" s="1"/>
  <c r="AI18" i="18"/>
  <c r="K87" i="25"/>
  <c r="AI16" i="18"/>
  <c r="K85" i="25"/>
  <c r="AI8" i="18"/>
  <c r="K79" i="25"/>
  <c r="AI7" i="18"/>
  <c r="K78" i="25"/>
  <c r="AI6" i="18"/>
  <c r="K77" i="25"/>
  <c r="AF12" i="21"/>
  <c r="N35" i="25"/>
  <c r="AG20" i="21"/>
  <c r="I67" i="24"/>
  <c r="AG8" i="21"/>
  <c r="C66" i="24"/>
  <c r="D66" i="24"/>
  <c r="E66" i="24"/>
  <c r="F66" i="24"/>
  <c r="G66" i="24"/>
  <c r="H66" i="24"/>
  <c r="C67" i="24"/>
  <c r="D67" i="24"/>
  <c r="E67" i="24"/>
  <c r="F67" i="24"/>
  <c r="G67" i="24"/>
  <c r="H67" i="24"/>
  <c r="B67" i="24"/>
  <c r="B66" i="24"/>
  <c r="C61" i="24"/>
  <c r="D61" i="24"/>
  <c r="E61" i="24"/>
  <c r="F61" i="24"/>
  <c r="G61" i="24"/>
  <c r="H61" i="24"/>
  <c r="C62" i="24"/>
  <c r="D62" i="24"/>
  <c r="E62" i="24"/>
  <c r="F62" i="24"/>
  <c r="G62" i="24"/>
  <c r="H62" i="24"/>
  <c r="B62" i="24"/>
  <c r="B61" i="24"/>
  <c r="B57" i="24"/>
  <c r="C57" i="24"/>
  <c r="D57" i="24"/>
  <c r="E57" i="24"/>
  <c r="F57" i="24"/>
  <c r="G57" i="24"/>
  <c r="H57" i="24"/>
  <c r="B58" i="24"/>
  <c r="C58" i="24"/>
  <c r="D58" i="24"/>
  <c r="E58" i="24"/>
  <c r="F58" i="24"/>
  <c r="G58" i="24"/>
  <c r="H58" i="24"/>
  <c r="C56" i="24"/>
  <c r="D56" i="24"/>
  <c r="E56" i="24"/>
  <c r="F56" i="24"/>
  <c r="G56" i="24"/>
  <c r="H56" i="24"/>
  <c r="B56" i="24"/>
  <c r="AG12" i="21"/>
  <c r="J106" i="25"/>
  <c r="AF9" i="22"/>
  <c r="J260" i="25" s="1"/>
  <c r="I66" i="24"/>
  <c r="I61" i="24"/>
  <c r="M317" i="25"/>
  <c r="K174" i="25"/>
  <c r="J174" i="25"/>
  <c r="M29" i="25"/>
  <c r="M30" i="25"/>
  <c r="M32" i="25"/>
  <c r="M33" i="25"/>
  <c r="M34" i="25"/>
  <c r="M37" i="25"/>
  <c r="M38" i="25"/>
  <c r="M39" i="25"/>
  <c r="M40" i="25"/>
  <c r="M41" i="25"/>
  <c r="L29" i="25"/>
  <c r="L30" i="25"/>
  <c r="L32" i="25"/>
  <c r="L33" i="25"/>
  <c r="L34" i="25"/>
  <c r="L37" i="25"/>
  <c r="L38" i="25"/>
  <c r="L39" i="25"/>
  <c r="L40" i="25"/>
  <c r="L41" i="25"/>
  <c r="M6" i="25"/>
  <c r="M7" i="25"/>
  <c r="M8" i="25"/>
  <c r="M10" i="25"/>
  <c r="M11" i="25"/>
  <c r="M12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4" i="25"/>
  <c r="M45" i="25"/>
  <c r="M146" i="25"/>
  <c r="M158" i="25"/>
  <c r="M176" i="25"/>
  <c r="M184" i="25"/>
  <c r="Q6" i="25"/>
  <c r="Q25" i="25"/>
  <c r="P25" i="25"/>
  <c r="Q24" i="25"/>
  <c r="P24" i="25"/>
  <c r="Q21" i="25"/>
  <c r="Q19" i="25"/>
  <c r="P19" i="25"/>
  <c r="Q18" i="25"/>
  <c r="P18" i="25"/>
  <c r="Q17" i="25"/>
  <c r="P17" i="25"/>
  <c r="Q14" i="25"/>
  <c r="P14" i="25"/>
  <c r="Q8" i="25"/>
  <c r="P8" i="25"/>
  <c r="Q7" i="25"/>
  <c r="P7" i="25"/>
  <c r="P6" i="25"/>
  <c r="U29" i="9"/>
  <c r="U15" i="22"/>
  <c r="U16" i="22"/>
  <c r="U67" i="9"/>
  <c r="U65" i="9"/>
  <c r="U7" i="26"/>
  <c r="T7" i="26"/>
  <c r="U60" i="9"/>
  <c r="U42" i="9"/>
  <c r="U3" i="9"/>
  <c r="V64" i="9"/>
  <c r="N177" i="25"/>
  <c r="V66" i="9"/>
  <c r="N179" i="25"/>
  <c r="V68" i="9"/>
  <c r="N181" i="25"/>
  <c r="U34" i="22"/>
  <c r="U33" i="22"/>
  <c r="U31" i="22"/>
  <c r="U30" i="22"/>
  <c r="U18" i="22"/>
  <c r="U24" i="22"/>
  <c r="U25" i="22"/>
  <c r="U19" i="22"/>
  <c r="U10" i="7"/>
  <c r="U35" i="22"/>
  <c r="U20" i="7"/>
  <c r="T60" i="9"/>
  <c r="S60" i="9"/>
  <c r="R60" i="9"/>
  <c r="U68" i="9"/>
  <c r="U64" i="9"/>
  <c r="U66" i="9"/>
  <c r="U3" i="22"/>
  <c r="U3" i="26"/>
  <c r="U3" i="7"/>
  <c r="U20" i="21"/>
  <c r="U8" i="21"/>
  <c r="L27" i="25"/>
  <c r="Q4" i="25"/>
  <c r="P4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2" i="25"/>
  <c r="L11" i="25"/>
  <c r="L10" i="25"/>
  <c r="L8" i="25"/>
  <c r="L7" i="25"/>
  <c r="L6" i="25"/>
  <c r="L4" i="25"/>
  <c r="M31" i="25"/>
  <c r="M42" i="25"/>
  <c r="U12" i="21"/>
  <c r="U14" i="22"/>
  <c r="I23" i="24"/>
  <c r="J21" i="24"/>
  <c r="AD29" i="9"/>
  <c r="AC29" i="9"/>
  <c r="AB29" i="9"/>
  <c r="AA29" i="9"/>
  <c r="Z29" i="9"/>
  <c r="AE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M35" i="25"/>
  <c r="T34" i="22"/>
  <c r="T31" i="22"/>
  <c r="T30" i="22"/>
  <c r="T25" i="22"/>
  <c r="T24" i="22"/>
  <c r="T16" i="22"/>
  <c r="T15" i="22"/>
  <c r="T33" i="22"/>
  <c r="T14" i="22"/>
  <c r="T35" i="22"/>
  <c r="T18" i="22"/>
  <c r="T19" i="22"/>
  <c r="T10" i="7"/>
  <c r="T20" i="7"/>
  <c r="T42" i="9"/>
  <c r="T67" i="9"/>
  <c r="T65" i="9"/>
  <c r="T20" i="21"/>
  <c r="T8" i="21"/>
  <c r="C176" i="25"/>
  <c r="C146" i="25"/>
  <c r="C158" i="25"/>
  <c r="I246" i="25"/>
  <c r="H246" i="25"/>
  <c r="G246" i="25"/>
  <c r="F246" i="25"/>
  <c r="E246" i="25"/>
  <c r="D246" i="25"/>
  <c r="C246" i="25"/>
  <c r="D176" i="25"/>
  <c r="E176" i="25"/>
  <c r="F176" i="25"/>
  <c r="G176" i="25"/>
  <c r="H176" i="25"/>
  <c r="I176" i="25"/>
  <c r="J176" i="25"/>
  <c r="K176" i="25"/>
  <c r="K195" i="25"/>
  <c r="K196" i="25"/>
  <c r="K190" i="25"/>
  <c r="I216" i="25"/>
  <c r="I228" i="25"/>
  <c r="H216" i="25"/>
  <c r="H228" i="25"/>
  <c r="G216" i="25"/>
  <c r="G228" i="25"/>
  <c r="F216" i="25"/>
  <c r="F228" i="25"/>
  <c r="E216" i="25"/>
  <c r="E228" i="25"/>
  <c r="D216" i="25"/>
  <c r="D228" i="25"/>
  <c r="C216" i="25"/>
  <c r="C228" i="25"/>
  <c r="D146" i="25"/>
  <c r="D158" i="25"/>
  <c r="E146" i="25"/>
  <c r="E158" i="25"/>
  <c r="F146" i="25"/>
  <c r="F158" i="25"/>
  <c r="G146" i="25"/>
  <c r="G158" i="25"/>
  <c r="H146" i="25"/>
  <c r="H158" i="25"/>
  <c r="I146" i="25"/>
  <c r="I158" i="25"/>
  <c r="J146" i="25"/>
  <c r="J158" i="25"/>
  <c r="K146" i="25"/>
  <c r="K158" i="25"/>
  <c r="I244" i="25"/>
  <c r="I55" i="25"/>
  <c r="K42" i="25"/>
  <c r="K31" i="25"/>
  <c r="K35" i="25"/>
  <c r="L42" i="25"/>
  <c r="L31" i="25"/>
  <c r="T9" i="22"/>
  <c r="T12" i="21"/>
  <c r="L35" i="25"/>
  <c r="S20" i="21"/>
  <c r="S8" i="21"/>
  <c r="S12" i="21"/>
  <c r="S67" i="9"/>
  <c r="S65" i="9"/>
  <c r="A13" i="3"/>
  <c r="A14" i="3"/>
  <c r="A15" i="3"/>
  <c r="A12" i="3"/>
  <c r="A11" i="3"/>
  <c r="T68" i="9"/>
  <c r="T66" i="9"/>
  <c r="T64" i="9"/>
  <c r="H42" i="24"/>
  <c r="H38" i="24"/>
  <c r="O32" i="24"/>
  <c r="B1" i="24"/>
  <c r="B8" i="24"/>
  <c r="I20" i="24"/>
  <c r="I21" i="24"/>
  <c r="H24" i="24"/>
  <c r="H25" i="24"/>
  <c r="H26" i="24"/>
  <c r="AB68" i="9"/>
  <c r="AE67" i="9"/>
  <c r="R67" i="9"/>
  <c r="R65" i="9"/>
  <c r="AE65" i="9"/>
  <c r="H41" i="24"/>
  <c r="M9" i="24"/>
  <c r="M10" i="24"/>
  <c r="M11" i="24"/>
  <c r="M3" i="24"/>
  <c r="M2" i="24"/>
  <c r="M1" i="24"/>
  <c r="M8" i="24"/>
  <c r="O6" i="24"/>
  <c r="AE60" i="9"/>
  <c r="S68" i="9"/>
  <c r="H27" i="24"/>
  <c r="C67" i="9"/>
  <c r="C65" i="9"/>
  <c r="G67" i="9"/>
  <c r="F67" i="9"/>
  <c r="E67" i="9"/>
  <c r="D67" i="9"/>
  <c r="G65" i="9"/>
  <c r="F65" i="9"/>
  <c r="E65" i="9"/>
  <c r="D65" i="9"/>
  <c r="C60" i="9"/>
  <c r="C66" i="9"/>
  <c r="D60" i="9"/>
  <c r="E60" i="9"/>
  <c r="F60" i="9"/>
  <c r="G68" i="9"/>
  <c r="F41" i="9"/>
  <c r="F42" i="9"/>
  <c r="E41" i="9"/>
  <c r="E42" i="9"/>
  <c r="D41" i="9"/>
  <c r="D42" i="9"/>
  <c r="C41" i="9"/>
  <c r="C42" i="9"/>
  <c r="H60" i="24"/>
  <c r="H65" i="24"/>
  <c r="A62" i="24"/>
  <c r="A61" i="24"/>
  <c r="A58" i="24"/>
  <c r="A57" i="24"/>
  <c r="A56" i="24"/>
  <c r="C38" i="24"/>
  <c r="D38" i="24"/>
  <c r="E38" i="24"/>
  <c r="F38" i="24"/>
  <c r="G38" i="24"/>
  <c r="B38" i="24"/>
  <c r="C37" i="24"/>
  <c r="B37" i="24"/>
  <c r="C42" i="24"/>
  <c r="D42" i="24"/>
  <c r="L42" i="24"/>
  <c r="E42" i="24"/>
  <c r="F42" i="24"/>
  <c r="G42" i="24"/>
  <c r="B42" i="24"/>
  <c r="M42" i="24"/>
  <c r="C41" i="24"/>
  <c r="C55" i="24"/>
  <c r="C60" i="24"/>
  <c r="C65" i="24"/>
  <c r="D41" i="24"/>
  <c r="D55" i="24"/>
  <c r="D60" i="24"/>
  <c r="D65" i="24"/>
  <c r="E41" i="24"/>
  <c r="E55" i="24"/>
  <c r="E60" i="24"/>
  <c r="E65" i="24"/>
  <c r="F41" i="24"/>
  <c r="F55" i="24"/>
  <c r="F60" i="24"/>
  <c r="F65" i="24"/>
  <c r="G41" i="24"/>
  <c r="G55" i="24"/>
  <c r="G60" i="24"/>
  <c r="G65" i="24"/>
  <c r="B41" i="24"/>
  <c r="B55" i="24"/>
  <c r="B60" i="24"/>
  <c r="B65" i="24"/>
  <c r="C25" i="24"/>
  <c r="D25" i="24"/>
  <c r="E25" i="24"/>
  <c r="F25" i="24"/>
  <c r="G25" i="24"/>
  <c r="C26" i="24"/>
  <c r="D26" i="24"/>
  <c r="E26" i="24"/>
  <c r="F26" i="24"/>
  <c r="G26" i="24"/>
  <c r="C27" i="24"/>
  <c r="D27" i="24"/>
  <c r="E27" i="24"/>
  <c r="F27" i="24"/>
  <c r="G27" i="24"/>
  <c r="B27" i="24"/>
  <c r="B26" i="24"/>
  <c r="B25" i="24"/>
  <c r="C24" i="24"/>
  <c r="D24" i="24"/>
  <c r="E24" i="24"/>
  <c r="F24" i="24"/>
  <c r="G24" i="24"/>
  <c r="B24" i="24"/>
  <c r="C23" i="24"/>
  <c r="C36" i="24"/>
  <c r="D23" i="24"/>
  <c r="D36" i="24"/>
  <c r="E23" i="24"/>
  <c r="E36" i="24"/>
  <c r="F23" i="24"/>
  <c r="F36" i="24"/>
  <c r="G23" i="24"/>
  <c r="G36" i="24"/>
  <c r="H23" i="24"/>
  <c r="B23" i="24"/>
  <c r="B36" i="24"/>
  <c r="D15" i="24"/>
  <c r="E15" i="24"/>
  <c r="F15" i="24"/>
  <c r="G15" i="24"/>
  <c r="C15" i="24"/>
  <c r="L14" i="24"/>
  <c r="K14" i="24"/>
  <c r="J14" i="24"/>
  <c r="I14" i="24"/>
  <c r="H14" i="24"/>
  <c r="H15" i="24"/>
  <c r="M14" i="24"/>
  <c r="C13" i="24"/>
  <c r="D13" i="24"/>
  <c r="E13" i="24"/>
  <c r="F13" i="24"/>
  <c r="G13" i="24"/>
  <c r="H13" i="24"/>
  <c r="I13" i="24"/>
  <c r="J13" i="24"/>
  <c r="K13" i="24"/>
  <c r="L13" i="24"/>
  <c r="M13" i="24"/>
  <c r="N13" i="24"/>
  <c r="B13" i="24"/>
  <c r="D33" i="24"/>
  <c r="E33" i="24"/>
  <c r="F33" i="24"/>
  <c r="G33" i="24"/>
  <c r="H33" i="24"/>
  <c r="C33" i="24"/>
  <c r="M32" i="24"/>
  <c r="L32" i="24"/>
  <c r="K32" i="24"/>
  <c r="J32" i="24"/>
  <c r="I32" i="24"/>
  <c r="N32" i="24"/>
  <c r="C31" i="24"/>
  <c r="D31" i="24"/>
  <c r="E31" i="24"/>
  <c r="F31" i="24"/>
  <c r="G31" i="24"/>
  <c r="H31" i="24"/>
  <c r="I31" i="24"/>
  <c r="J31" i="24"/>
  <c r="K31" i="24"/>
  <c r="L31" i="24"/>
  <c r="M31" i="24"/>
  <c r="N31" i="24"/>
  <c r="O31" i="24"/>
  <c r="B31" i="24"/>
  <c r="D20" i="24"/>
  <c r="D21" i="24"/>
  <c r="E20" i="24"/>
  <c r="E21" i="24"/>
  <c r="F20" i="24"/>
  <c r="F21" i="24"/>
  <c r="G20" i="24"/>
  <c r="G21" i="24"/>
  <c r="H20" i="24"/>
  <c r="H21" i="24"/>
  <c r="C20" i="24"/>
  <c r="C21" i="24"/>
  <c r="B21" i="24"/>
  <c r="B9" i="24"/>
  <c r="C9" i="24"/>
  <c r="D9" i="24"/>
  <c r="E9" i="24"/>
  <c r="F9" i="24"/>
  <c r="G9" i="24"/>
  <c r="H9" i="24"/>
  <c r="I9" i="24"/>
  <c r="J9" i="24"/>
  <c r="K9" i="24"/>
  <c r="L9" i="24"/>
  <c r="B10" i="24"/>
  <c r="C10" i="24"/>
  <c r="D10" i="24"/>
  <c r="E10" i="24"/>
  <c r="F10" i="24"/>
  <c r="G10" i="24"/>
  <c r="H10" i="24"/>
  <c r="I10" i="24"/>
  <c r="J10" i="24"/>
  <c r="K10" i="24"/>
  <c r="L10" i="24"/>
  <c r="B11" i="24"/>
  <c r="C11" i="24"/>
  <c r="D11" i="24"/>
  <c r="E11" i="24"/>
  <c r="F11" i="24"/>
  <c r="G11" i="24"/>
  <c r="H11" i="24"/>
  <c r="I11" i="24"/>
  <c r="J11" i="24"/>
  <c r="K11" i="24"/>
  <c r="L11" i="24"/>
  <c r="E1" i="24"/>
  <c r="E8" i="24"/>
  <c r="D1" i="24"/>
  <c r="D8" i="24"/>
  <c r="C1" i="24"/>
  <c r="C8" i="24"/>
  <c r="G1" i="24"/>
  <c r="G8" i="24"/>
  <c r="H1" i="24"/>
  <c r="H8" i="24"/>
  <c r="I1" i="24"/>
  <c r="I8" i="24"/>
  <c r="J1" i="24"/>
  <c r="J8" i="24"/>
  <c r="K1" i="24"/>
  <c r="K8" i="24"/>
  <c r="L1" i="24"/>
  <c r="L8" i="24"/>
  <c r="F1" i="24"/>
  <c r="F8" i="24"/>
  <c r="Q13" i="9"/>
  <c r="AD68" i="9"/>
  <c r="AC68" i="9"/>
  <c r="AA68" i="9"/>
  <c r="Z68" i="9"/>
  <c r="Q68" i="9"/>
  <c r="P68" i="9"/>
  <c r="O68" i="9"/>
  <c r="N68" i="9"/>
  <c r="M68" i="9"/>
  <c r="L68" i="9"/>
  <c r="K68" i="9"/>
  <c r="J68" i="9"/>
  <c r="I68" i="9"/>
  <c r="H68" i="9"/>
  <c r="AD67" i="9"/>
  <c r="AA67" i="9"/>
  <c r="AB67" i="9"/>
  <c r="AC67" i="9"/>
  <c r="Z67" i="9"/>
  <c r="AA66" i="9"/>
  <c r="AB66" i="9"/>
  <c r="AC66" i="9"/>
  <c r="AD66" i="9"/>
  <c r="Z66" i="9"/>
  <c r="AA64" i="9"/>
  <c r="AB64" i="9"/>
  <c r="AC64" i="9"/>
  <c r="AD64" i="9"/>
  <c r="AA65" i="9"/>
  <c r="AB65" i="9"/>
  <c r="AC65" i="9"/>
  <c r="AD65" i="9"/>
  <c r="Z65" i="9"/>
  <c r="Z64" i="9"/>
  <c r="I66" i="9"/>
  <c r="J66" i="9"/>
  <c r="K66" i="9"/>
  <c r="L66" i="9"/>
  <c r="M66" i="9"/>
  <c r="N66" i="9"/>
  <c r="O66" i="9"/>
  <c r="P66" i="9"/>
  <c r="Q66" i="9"/>
  <c r="H66" i="9"/>
  <c r="I67" i="9"/>
  <c r="J67" i="9"/>
  <c r="K67" i="9"/>
  <c r="L67" i="9"/>
  <c r="M67" i="9"/>
  <c r="N67" i="9"/>
  <c r="O67" i="9"/>
  <c r="P67" i="9"/>
  <c r="Q67" i="9"/>
  <c r="H67" i="9"/>
  <c r="I65" i="9"/>
  <c r="J65" i="9"/>
  <c r="K65" i="9"/>
  <c r="L65" i="9"/>
  <c r="M65" i="9"/>
  <c r="N65" i="9"/>
  <c r="O65" i="9"/>
  <c r="P65" i="9"/>
  <c r="Q65" i="9"/>
  <c r="H65" i="9"/>
  <c r="P64" i="9"/>
  <c r="O64" i="9"/>
  <c r="N64" i="9"/>
  <c r="M64" i="9"/>
  <c r="L64" i="9"/>
  <c r="K64" i="9"/>
  <c r="J64" i="9"/>
  <c r="I64" i="9"/>
  <c r="H64" i="9"/>
  <c r="Q64" i="9"/>
  <c r="AF66" i="9"/>
  <c r="J249" i="25"/>
  <c r="AF68" i="9"/>
  <c r="J251" i="25"/>
  <c r="AF64" i="9"/>
  <c r="J247" i="25"/>
  <c r="I33" i="24"/>
  <c r="P33" i="24"/>
  <c r="P34" i="24"/>
  <c r="L15" i="24"/>
  <c r="F68" i="9"/>
  <c r="AE66" i="9"/>
  <c r="R66" i="9"/>
  <c r="M33" i="24"/>
  <c r="R64" i="9"/>
  <c r="S66" i="9"/>
  <c r="S64" i="9"/>
  <c r="I15" i="24"/>
  <c r="O33" i="24"/>
  <c r="N33" i="24"/>
  <c r="L33" i="24"/>
  <c r="K33" i="24"/>
  <c r="C64" i="9"/>
  <c r="E68" i="9"/>
  <c r="M15" i="24"/>
  <c r="K15" i="24"/>
  <c r="J15" i="24"/>
  <c r="N14" i="24"/>
  <c r="D64" i="9"/>
  <c r="D66" i="9"/>
  <c r="D68" i="9"/>
  <c r="C68" i="9"/>
  <c r="E64" i="9"/>
  <c r="E66" i="9"/>
  <c r="F64" i="9"/>
  <c r="F66" i="9"/>
  <c r="AE68" i="9"/>
  <c r="AE64" i="9"/>
  <c r="G64" i="9"/>
  <c r="G66" i="9"/>
  <c r="R68" i="9"/>
  <c r="J33" i="24"/>
  <c r="N15" i="24"/>
  <c r="O15" i="24"/>
  <c r="W18" i="7"/>
  <c r="O332" i="25"/>
  <c r="W17" i="7"/>
  <c r="O331" i="25"/>
  <c r="W16" i="7"/>
  <c r="O330" i="25"/>
  <c r="O324" i="25"/>
  <c r="W19" i="7"/>
  <c r="O333" i="25"/>
  <c r="L38" i="24" l="1"/>
  <c r="I27" i="24"/>
  <c r="M15" i="18"/>
  <c r="O9" i="25"/>
  <c r="N15" i="18"/>
  <c r="H5" i="18"/>
  <c r="O15" i="18"/>
  <c r="F5" i="18"/>
  <c r="E5" i="18"/>
  <c r="G5" i="18"/>
  <c r="AE15" i="18"/>
  <c r="F37" i="24" s="1"/>
  <c r="AF5" i="18"/>
  <c r="J15" i="18"/>
  <c r="L15" i="18"/>
  <c r="Q5" i="18"/>
  <c r="P15" i="18"/>
  <c r="V15" i="18"/>
  <c r="N13" i="25" s="1"/>
  <c r="X9" i="18"/>
  <c r="P9" i="25" s="1"/>
  <c r="L9" i="25"/>
  <c r="T5" i="18"/>
  <c r="L5" i="25" s="1"/>
  <c r="N9" i="25"/>
  <c r="W15" i="18"/>
  <c r="U15" i="18"/>
  <c r="M13" i="25" s="1"/>
  <c r="S5" i="18"/>
  <c r="O295" i="25"/>
  <c r="N5" i="25"/>
  <c r="M9" i="25"/>
  <c r="Y9" i="18"/>
  <c r="Q9" i="25" s="1"/>
  <c r="Y15" i="18" l="1"/>
  <c r="Q13" i="25" s="1"/>
  <c r="X15" i="18"/>
  <c r="P13" i="25" s="1"/>
  <c r="X5" i="18"/>
  <c r="P5" i="25" s="1"/>
  <c r="O5" i="25"/>
  <c r="O296" i="25"/>
  <c r="Y5" i="18"/>
  <c r="Q5" i="25" s="1"/>
  <c r="W22" i="26"/>
  <c r="O305" i="25" s="1"/>
  <c r="O13" i="25"/>
  <c r="J81" i="25" l="1"/>
  <c r="AH9" i="18"/>
  <c r="AI9" i="18" s="1"/>
  <c r="K80" i="25" s="1"/>
  <c r="AJ9" i="18" l="1"/>
  <c r="L80" i="25" s="1"/>
  <c r="J80" i="25"/>
  <c r="AH5" i="18"/>
  <c r="AH15" i="18"/>
  <c r="J76" i="25" l="1"/>
  <c r="AI5" i="18"/>
  <c r="K76" i="25" s="1"/>
  <c r="AJ5" i="18"/>
  <c r="L76" i="25" s="1"/>
  <c r="AI15" i="18"/>
  <c r="K84" i="25" s="1"/>
  <c r="J84" i="25"/>
  <c r="I37" i="24"/>
  <c r="AJ15" i="18"/>
  <c r="L84" i="25" s="1"/>
  <c r="L37" i="24" l="1"/>
  <c r="M37" i="24"/>
</calcChain>
</file>

<file path=xl/sharedStrings.xml><?xml version="1.0" encoding="utf-8"?>
<sst xmlns="http://schemas.openxmlformats.org/spreadsheetml/2006/main" count="1095" uniqueCount="297">
  <si>
    <t>Index</t>
  </si>
  <si>
    <t>Q1FY24</t>
  </si>
  <si>
    <t>Q2FY24</t>
  </si>
  <si>
    <t>Q3FY24</t>
  </si>
  <si>
    <t>YoY</t>
  </si>
  <si>
    <t>QoQ</t>
  </si>
  <si>
    <t>FY19</t>
  </si>
  <si>
    <t>FY20</t>
  </si>
  <si>
    <t>FY21</t>
  </si>
  <si>
    <t>FY22</t>
  </si>
  <si>
    <t>FY23</t>
  </si>
  <si>
    <t>Total Income</t>
  </si>
  <si>
    <t>Credit Cost</t>
  </si>
  <si>
    <t>Profit before Tax</t>
  </si>
  <si>
    <t>Tax Expense</t>
  </si>
  <si>
    <t>Profit after Tax</t>
  </si>
  <si>
    <t>June'23</t>
  </si>
  <si>
    <t>Sep'23</t>
  </si>
  <si>
    <t>Dec'23</t>
  </si>
  <si>
    <t>Sources of Funds</t>
  </si>
  <si>
    <t>Share Capital</t>
  </si>
  <si>
    <t>Reserves &amp; Surplus</t>
  </si>
  <si>
    <t xml:space="preserve">Borrowings </t>
  </si>
  <si>
    <t xml:space="preserve">Other liabilities &amp; provisions </t>
  </si>
  <si>
    <t>Total</t>
  </si>
  <si>
    <t>Application of Funds</t>
  </si>
  <si>
    <t>Loan Assets</t>
  </si>
  <si>
    <t>Investments</t>
  </si>
  <si>
    <t>Fixed Assets</t>
  </si>
  <si>
    <t>Liquid Assets</t>
  </si>
  <si>
    <t>Other Assets</t>
  </si>
  <si>
    <t xml:space="preserve">AUM </t>
  </si>
  <si>
    <t xml:space="preserve">Disbursements </t>
  </si>
  <si>
    <t>Self Employed</t>
  </si>
  <si>
    <t>Salaried</t>
  </si>
  <si>
    <t>State Wise AUM (%)</t>
  </si>
  <si>
    <t>Rajasthan</t>
  </si>
  <si>
    <t>Maharashtra</t>
  </si>
  <si>
    <t>Madhya Pradesh</t>
  </si>
  <si>
    <t>Karnataka</t>
  </si>
  <si>
    <t>Gujarat</t>
  </si>
  <si>
    <t>Uttar Pradesh</t>
  </si>
  <si>
    <t>Uttarakhand</t>
  </si>
  <si>
    <t>Delhi</t>
  </si>
  <si>
    <t>Haryana</t>
  </si>
  <si>
    <t>Chhattisgarh</t>
  </si>
  <si>
    <t>Punjab</t>
  </si>
  <si>
    <t>Orissa</t>
  </si>
  <si>
    <t>Geographic Distribution (branches)</t>
  </si>
  <si>
    <t>Operational</t>
  </si>
  <si>
    <t>No of States</t>
  </si>
  <si>
    <t>Total Employees</t>
  </si>
  <si>
    <t xml:space="preserve">Gross Stage 3 </t>
  </si>
  <si>
    <t>% Portfolio in Stage 3</t>
  </si>
  <si>
    <t>ECL Provision Stage 3</t>
  </si>
  <si>
    <t>Net Stage 3</t>
  </si>
  <si>
    <t xml:space="preserve">Provision Coverage Ration (PCR) – Stage 3 </t>
  </si>
  <si>
    <t>Gross Stage 2</t>
  </si>
  <si>
    <t>% Portfolio in Stage 2</t>
  </si>
  <si>
    <t>ECL Provision Stage 2</t>
  </si>
  <si>
    <t>Net Stage 2</t>
  </si>
  <si>
    <t xml:space="preserve">Provision Coverage Ration (PCR) – Stage 2 </t>
  </si>
  <si>
    <t>% Portfolio in Stage 1</t>
  </si>
  <si>
    <t>ECL Provision Stage 1</t>
  </si>
  <si>
    <t>Net Stage 1</t>
  </si>
  <si>
    <t>Gross Stage 1,2 &amp; 3</t>
  </si>
  <si>
    <t>ECL Provision</t>
  </si>
  <si>
    <t>Total ECL Provision (%)</t>
  </si>
  <si>
    <t xml:space="preserve">Yield </t>
  </si>
  <si>
    <t>CoB</t>
  </si>
  <si>
    <t>Spread</t>
  </si>
  <si>
    <t>RoE Tree</t>
  </si>
  <si>
    <t>Operating Expenses to Average Total Assets</t>
  </si>
  <si>
    <t>PBT to Average Total Assets</t>
  </si>
  <si>
    <t>ROA (PAT to Average Total Assets)</t>
  </si>
  <si>
    <t>Leverage (Average Total Assets to Average Net Worth)</t>
  </si>
  <si>
    <t>ROE (PAT to Average Net Worth)</t>
  </si>
  <si>
    <t>Ratios</t>
  </si>
  <si>
    <t>Cost to Income</t>
  </si>
  <si>
    <t>Operating expenses / AUM</t>
  </si>
  <si>
    <t>CRAR (%)</t>
  </si>
  <si>
    <t>Avg Total Assets</t>
  </si>
  <si>
    <t>Avg Net Worth</t>
  </si>
  <si>
    <t>Avg AUM</t>
  </si>
  <si>
    <t>Avg Borrowing</t>
  </si>
  <si>
    <t>Total Borrowings</t>
  </si>
  <si>
    <t>Long Term Credit Rating (Standalone)</t>
  </si>
  <si>
    <t>CARE</t>
  </si>
  <si>
    <t>ICRA</t>
  </si>
  <si>
    <t>NII</t>
  </si>
  <si>
    <t>Fees and Other income</t>
  </si>
  <si>
    <t>Total Net Income</t>
  </si>
  <si>
    <t>Employee Expenses</t>
  </si>
  <si>
    <t>Other expenditure</t>
  </si>
  <si>
    <t>Total Expenses</t>
  </si>
  <si>
    <t>PPOP</t>
  </si>
  <si>
    <t>Q4FY24</t>
  </si>
  <si>
    <t>Q1FY25</t>
  </si>
  <si>
    <t>FY24</t>
  </si>
  <si>
    <t>Mar'24</t>
  </si>
  <si>
    <t>June'24</t>
  </si>
  <si>
    <t>Other Income</t>
  </si>
  <si>
    <t>Interest income incl. FD income</t>
  </si>
  <si>
    <t>Deferred Tax Liability (Net)</t>
  </si>
  <si>
    <t>Customer Segment - as % of AUM</t>
  </si>
  <si>
    <t>Q4FY23</t>
  </si>
  <si>
    <t>Q3FY23</t>
  </si>
  <si>
    <t>Q2FY23</t>
  </si>
  <si>
    <t>Q1FY23</t>
  </si>
  <si>
    <t>Less : Interest Expenditure</t>
  </si>
  <si>
    <t>Other Comprehensive Income after Tax</t>
  </si>
  <si>
    <t>Total Comprehensive Income as per Ind AS</t>
  </si>
  <si>
    <t>Mar'23</t>
  </si>
  <si>
    <t>Dec'22</t>
  </si>
  <si>
    <t>Sep'22</t>
  </si>
  <si>
    <t>June'22</t>
  </si>
  <si>
    <t>Himachal Pradesh</t>
  </si>
  <si>
    <r>
      <t xml:space="preserve">Margins </t>
    </r>
    <r>
      <rPr>
        <sz val="11"/>
        <color theme="1"/>
        <rFont val="Aptos Display"/>
        <family val="2"/>
      </rPr>
      <t>(as at period end)</t>
    </r>
  </si>
  <si>
    <t>Term Loans</t>
  </si>
  <si>
    <t>Assignment</t>
  </si>
  <si>
    <t>NHB refinancing</t>
  </si>
  <si>
    <t>NCDs</t>
  </si>
  <si>
    <t>Cash Credit</t>
  </si>
  <si>
    <t>Interest Income to Average Total Assets</t>
  </si>
  <si>
    <t>Interest Expense to Average Total Assets</t>
  </si>
  <si>
    <t>AA /Stable</t>
  </si>
  <si>
    <t>AA- /Positive</t>
  </si>
  <si>
    <t>AA- /Stable</t>
  </si>
  <si>
    <t>A+ /Positive</t>
  </si>
  <si>
    <t>HL</t>
  </si>
  <si>
    <t>Segment wise NPA Split (%)</t>
  </si>
  <si>
    <t>Q2FY25</t>
  </si>
  <si>
    <t>Sept'24</t>
  </si>
  <si>
    <t>Tamil Nadu</t>
  </si>
  <si>
    <t>Active Loan Count</t>
  </si>
  <si>
    <t>Fixed</t>
  </si>
  <si>
    <t>Fixed-Floating Mix (%)</t>
  </si>
  <si>
    <t>Productwise AUM Mix (%)</t>
  </si>
  <si>
    <t>Productwise Disbursement Mix (%)</t>
  </si>
  <si>
    <t>Overall</t>
  </si>
  <si>
    <t>Provision matrix</t>
  </si>
  <si>
    <t>Basic EPS (Rs)</t>
  </si>
  <si>
    <t>Diluted EPS (Rs)</t>
  </si>
  <si>
    <t>NHL</t>
  </si>
  <si>
    <t>Average Ticket Size (ATS) on AUM (Rs. In lakh)</t>
  </si>
  <si>
    <t>GNPA (Amt.)</t>
  </si>
  <si>
    <t>NNPA (Amt.)</t>
  </si>
  <si>
    <t>GNPA (%)</t>
  </si>
  <si>
    <t>NNPA (%)</t>
  </si>
  <si>
    <t>1+DPD (%)</t>
  </si>
  <si>
    <t>Credit Cost (%)</t>
  </si>
  <si>
    <t>Floating</t>
  </si>
  <si>
    <r>
      <t xml:space="preserve">Funding Profile </t>
    </r>
    <r>
      <rPr>
        <sz val="11"/>
        <color theme="1"/>
        <rFont val="Aptos Display"/>
        <family val="2"/>
      </rPr>
      <t>(as at period end)</t>
    </r>
  </si>
  <si>
    <r>
      <t xml:space="preserve">Funding Profile (%) </t>
    </r>
    <r>
      <rPr>
        <sz val="11"/>
        <color theme="1"/>
        <rFont val="Aptos Display"/>
        <family val="2"/>
      </rPr>
      <t>(as at period end)</t>
    </r>
  </si>
  <si>
    <t>AA 
/Stable</t>
  </si>
  <si>
    <t>AA- 
/Positive</t>
  </si>
  <si>
    <t>Provision Coverage Ration (PCR) – Stage 1</t>
  </si>
  <si>
    <t>Others</t>
  </si>
  <si>
    <t xml:space="preserve">  - MSME</t>
  </si>
  <si>
    <t xml:space="preserve">  - Other Mortgage Loan</t>
  </si>
  <si>
    <t>Particulars (Rs Mn)</t>
  </si>
  <si>
    <t>Balance Sheet (Rs. Mn)</t>
  </si>
  <si>
    <t>Particulars (Rs. Mn)</t>
  </si>
  <si>
    <t>Particular (Rs. Mn)</t>
  </si>
  <si>
    <t>Book Value Per Share (Rs)</t>
  </si>
  <si>
    <t>Provisions to Average Total Assets</t>
  </si>
  <si>
    <t>Fixed-Floating Mix of Loan Assets (%)</t>
  </si>
  <si>
    <t>FY19*</t>
  </si>
  <si>
    <t>Gross Stage 1*</t>
  </si>
  <si>
    <t>Other Income to Average Total Assets</t>
  </si>
  <si>
    <t>Net Total Income( NIM) to Average Total Assets</t>
  </si>
  <si>
    <t>Total Borrowings (Closing)</t>
  </si>
  <si>
    <t>Securitization Volume (incremental)</t>
  </si>
  <si>
    <t>Tenure of Borrowings (months) (for the period)</t>
  </si>
  <si>
    <t>Q3FY25</t>
  </si>
  <si>
    <t>Dec'24</t>
  </si>
  <si>
    <t>Net gain on de-recognised assets</t>
  </si>
  <si>
    <t xml:space="preserve">Net Gain in Fair value change </t>
  </si>
  <si>
    <t>Q1FY22</t>
  </si>
  <si>
    <t>Q2FY22</t>
  </si>
  <si>
    <t>Q3FY22</t>
  </si>
  <si>
    <t>Q4FY22</t>
  </si>
  <si>
    <t>June'21</t>
  </si>
  <si>
    <t>Sep'21</t>
  </si>
  <si>
    <t>Dec'21</t>
  </si>
  <si>
    <t>Mar'22</t>
  </si>
  <si>
    <t>Productivity</t>
  </si>
  <si>
    <t>AuM / Branch</t>
  </si>
  <si>
    <t>AuM / Employee</t>
  </si>
  <si>
    <t>Disbursement /  Branch</t>
  </si>
  <si>
    <t>Disbursement /  Employee</t>
  </si>
  <si>
    <t>Average Employee /  Branch</t>
  </si>
  <si>
    <t>AuM</t>
  </si>
  <si>
    <t xml:space="preserve"> </t>
  </si>
  <si>
    <t>FY12</t>
  </si>
  <si>
    <t xml:space="preserve"> -   </t>
  </si>
  <si>
    <t>FY13</t>
  </si>
  <si>
    <t>FY14</t>
  </si>
  <si>
    <t>FY15</t>
  </si>
  <si>
    <t>FY16</t>
  </si>
  <si>
    <t>FY17</t>
  </si>
  <si>
    <t>FY18</t>
  </si>
  <si>
    <t>AuM Growth</t>
  </si>
  <si>
    <t>Disbursement Growth</t>
  </si>
  <si>
    <t>MSME</t>
  </si>
  <si>
    <t>Other Mortgage Loan</t>
  </si>
  <si>
    <t xml:space="preserve">AuM Mix </t>
  </si>
  <si>
    <t>Geographical diversification journey</t>
  </si>
  <si>
    <t>Vintage States</t>
  </si>
  <si>
    <t>Emerging States</t>
  </si>
  <si>
    <t>Credit cost</t>
  </si>
  <si>
    <t>Cumulative Write-off</t>
  </si>
  <si>
    <t>Branches</t>
  </si>
  <si>
    <t>States</t>
  </si>
  <si>
    <t>Branches Addition</t>
  </si>
  <si>
    <t>Pristine Asset Quality</t>
  </si>
  <si>
    <t>GNPA</t>
  </si>
  <si>
    <t>NNPA</t>
  </si>
  <si>
    <t>1+DPD</t>
  </si>
  <si>
    <t>Net Worth</t>
  </si>
  <si>
    <t>NIM</t>
  </si>
  <si>
    <t>PAT</t>
  </si>
  <si>
    <t>Consistent Compunding Engine</t>
  </si>
  <si>
    <t>Tier-1</t>
  </si>
  <si>
    <t>Tier-2</t>
  </si>
  <si>
    <t>Tier-3</t>
  </si>
  <si>
    <t>Statewise &amp; Location-wsie AuM Distribution</t>
  </si>
  <si>
    <t>AuM Journey (Rs. in bn)</t>
  </si>
  <si>
    <t>Rs. in Mn unless otherwise mentioned</t>
  </si>
  <si>
    <t>Branch Expansion Journey (count)</t>
  </si>
  <si>
    <t>Yield, Cost of Borrowing and Spread Journey</t>
  </si>
  <si>
    <t>Focused on productivity &amp; cost control</t>
  </si>
  <si>
    <t>RoA</t>
  </si>
  <si>
    <t>RoE</t>
  </si>
  <si>
    <t>Tier-4 &amp; Below</t>
  </si>
  <si>
    <t>*Gross Stage 1&amp;2 is clubbed for FY19, Q1FY22, Q2FY22</t>
  </si>
  <si>
    <t>Diversified Liability Profile with focus on Long term funding</t>
  </si>
  <si>
    <t>NCDs (Incl Tier 2)</t>
  </si>
  <si>
    <t>Q4FY25</t>
  </si>
  <si>
    <t>FY25</t>
  </si>
  <si>
    <t>Mar'25</t>
  </si>
  <si>
    <t xml:space="preserve">Assignment </t>
  </si>
  <si>
    <t>Balance Sheet</t>
  </si>
  <si>
    <t>Liabilities</t>
  </si>
  <si>
    <t>Story in Charts</t>
  </si>
  <si>
    <t>Profit &amp; Loss Statement</t>
  </si>
  <si>
    <t>Operational Data</t>
  </si>
  <si>
    <t>Credit Quality</t>
  </si>
  <si>
    <t>For any queries on the financials &amp; investor related information of the Company, email us at investorrelations@aavas.in</t>
  </si>
  <si>
    <t>.</t>
  </si>
  <si>
    <t>`</t>
  </si>
  <si>
    <t>Q1FY26</t>
  </si>
  <si>
    <t>Jun'26</t>
  </si>
  <si>
    <t>Yields, Margins &amp; Ratios</t>
  </si>
  <si>
    <t>CAGR 5Y</t>
  </si>
  <si>
    <t>Margins (as at period end)</t>
  </si>
  <si>
    <t>Funding Profile (as at period end)</t>
  </si>
  <si>
    <t>Funding Profile (%) (as at period end)</t>
  </si>
  <si>
    <t>Quarterly Financials</t>
  </si>
  <si>
    <t>Quarterly Operational Data - contd</t>
  </si>
  <si>
    <t>Quarterly Yields Margins &amp; Ratio</t>
  </si>
  <si>
    <t>Quarterly Liability Profile</t>
  </si>
  <si>
    <t>Year End Yields Margins &amp; Ratio</t>
  </si>
  <si>
    <t>Year End Liability Profile</t>
  </si>
  <si>
    <t>Year End Credit Quality</t>
  </si>
  <si>
    <t>Year End Operational Data - contd</t>
  </si>
  <si>
    <t>Quarterly Credit Quality</t>
  </si>
  <si>
    <t>Factsheet</t>
  </si>
  <si>
    <t>Quarterly Operational Data</t>
  </si>
  <si>
    <t>Year End Financials</t>
  </si>
  <si>
    <t>Year End Operational Data</t>
  </si>
  <si>
    <t>Q2FY26</t>
  </si>
  <si>
    <t>Jun'25</t>
  </si>
  <si>
    <t>Sep'25</t>
  </si>
  <si>
    <t>AA 
/ Positive</t>
  </si>
  <si>
    <t>Portfolio Rundown (%)</t>
  </si>
  <si>
    <t>Repayment Rate</t>
  </si>
  <si>
    <t>BT Out</t>
  </si>
  <si>
    <t>Q3FY26</t>
  </si>
  <si>
    <t>Chandigarh</t>
  </si>
  <si>
    <t>Dec'25</t>
  </si>
  <si>
    <t>Q4FY26</t>
  </si>
  <si>
    <t>FY26</t>
  </si>
  <si>
    <t>Mar'26</t>
  </si>
  <si>
    <t>CAGR (FY21-26)</t>
  </si>
  <si>
    <t>Q1FY27</t>
  </si>
  <si>
    <t xml:space="preserve">AA </t>
  </si>
  <si>
    <t>Net Total Income (NIM)</t>
  </si>
  <si>
    <t>Pre-Provisioning Operating Profit (PPOP)</t>
  </si>
  <si>
    <t>Net Interest Income (NII)</t>
  </si>
  <si>
    <t>Fees, Commision and Other income</t>
  </si>
  <si>
    <t>Upfronting Income</t>
  </si>
  <si>
    <t>Unwinding of assignment income</t>
  </si>
  <si>
    <t xml:space="preserve">Interest income </t>
  </si>
  <si>
    <t>Income on FDs and Mutual Funds</t>
  </si>
  <si>
    <t>Provisioning</t>
  </si>
  <si>
    <t xml:space="preserve"> Interest Expenditure (incl Finance Charges)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</si>
</sst>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_ * #,##0.0_ ;_ * \-#,##0.0_ ;_ * &quot;-&quot;??_ ;_ @_ "/>
    <numFmt numFmtId="169" formatCode="_-* #,##0.00_-;\-* #,##0.00_-;_-* &quot;-&quot;??_-;_-@_-"/>
    <numFmt numFmtId="170" formatCode="0.00000000000000000%"/>
    <numFmt numFmtId="171" formatCode="0.000%"/>
    <numFmt numFmtId="172" formatCode="_(* #,##0.000_);_(* \(#,##0.000\);_(* &quot;-&quot;??_);_(@_)"/>
    <numFmt numFmtId="173" formatCode="_(* #,##0.0000_);_(* \(#,##0.00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0"/>
      <name val="Aptos Display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0"/>
      <name val="Aptos Display"/>
      <family val="2"/>
    </font>
    <font>
      <i/>
      <sz val="11"/>
      <color theme="1"/>
      <name val="Aptos Display"/>
      <family val="2"/>
    </font>
    <font>
      <b/>
      <i/>
      <sz val="11"/>
      <color theme="1"/>
      <name val="Aptos Display"/>
      <family val="2"/>
    </font>
    <font>
      <b/>
      <u/>
      <sz val="11"/>
      <color theme="1"/>
      <name val="Aptos Display"/>
      <family val="2"/>
    </font>
    <font>
      <sz val="11"/>
      <name val="Aptos Display"/>
      <family val="2"/>
    </font>
    <font>
      <u/>
      <sz val="11"/>
      <color theme="0"/>
      <name val="Aptos Display"/>
      <family val="2"/>
    </font>
    <font>
      <sz val="11"/>
      <color theme="1"/>
      <name val="Aptos Display"/>
      <family val="2"/>
    </font>
    <font>
      <b/>
      <sz val="11"/>
      <color theme="0"/>
      <name val="Aptos Display"/>
      <family val="2"/>
    </font>
    <font>
      <b/>
      <sz val="11"/>
      <color theme="1"/>
      <name val="Aptos Display"/>
      <family val="2"/>
    </font>
    <font>
      <i/>
      <sz val="11"/>
      <color theme="1"/>
      <name val="Aptos Display"/>
      <family val="2"/>
    </font>
    <font>
      <b/>
      <i/>
      <sz val="11"/>
      <color theme="1"/>
      <name val="Aptos Display"/>
      <family val="2"/>
    </font>
    <font>
      <sz val="12"/>
      <color theme="1"/>
      <name val="Aptos Display"/>
      <family val="2"/>
    </font>
    <font>
      <b/>
      <sz val="12"/>
      <color theme="1"/>
      <name val="Aptos Display"/>
      <family val="2"/>
    </font>
    <font>
      <u/>
      <sz val="12"/>
      <color theme="0"/>
      <name val="Aptos Display"/>
      <family val="2"/>
    </font>
    <font>
      <u/>
      <sz val="12"/>
      <color theme="10"/>
      <name val="Aptos Display"/>
      <family val="2"/>
    </font>
    <font>
      <b/>
      <sz val="11"/>
      <color rgb="FF002060"/>
      <name val="Aptos Display"/>
      <family val="2"/>
    </font>
    <font>
      <sz val="2"/>
      <color theme="0"/>
      <name val="Aptos Display"/>
      <family val="2"/>
    </font>
    <font>
      <u/>
      <sz val="7"/>
      <color theme="0"/>
      <name val="Aptos Display"/>
      <family val="2"/>
    </font>
    <font>
      <sz val="7"/>
      <color theme="1"/>
      <name val="Aptos Display"/>
      <family val="2"/>
    </font>
    <font>
      <b/>
      <sz val="7"/>
      <color theme="1"/>
      <name val="Aptos Display"/>
      <family val="2"/>
    </font>
    <font>
      <b/>
      <u/>
      <sz val="7"/>
      <color rgb="FF293895"/>
      <name val="Aptos Display"/>
      <family val="2"/>
    </font>
    <font>
      <b/>
      <sz val="7"/>
      <color rgb="FF293895"/>
      <name val="Aptos Display"/>
      <family val="2"/>
    </font>
    <font>
      <b/>
      <sz val="7"/>
      <color theme="0"/>
      <name val="Aptos Display"/>
      <family val="2"/>
    </font>
    <font>
      <b/>
      <i/>
      <sz val="7"/>
      <color theme="1"/>
      <name val="Aptos Display"/>
      <family val="2"/>
    </font>
    <font>
      <i/>
      <sz val="7"/>
      <color theme="1"/>
      <name val="Aptos Display"/>
      <family val="2"/>
    </font>
    <font>
      <b/>
      <u/>
      <sz val="7"/>
      <color theme="1"/>
      <name val="Aptos Display"/>
      <family val="2"/>
    </font>
    <font>
      <sz val="7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29389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13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166" fontId="8" fillId="0" borderId="0" xfId="1" applyNumberFormat="1" applyFont="1" applyFill="1" applyBorder="1"/>
    <xf numFmtId="166" fontId="5" fillId="0" borderId="0" xfId="1" applyNumberFormat="1" applyFont="1" applyFill="1" applyBorder="1"/>
    <xf numFmtId="166" fontId="5" fillId="0" borderId="0" xfId="1" applyNumberFormat="1" applyFont="1"/>
    <xf numFmtId="166" fontId="8" fillId="0" borderId="0" xfId="1" applyNumberFormat="1" applyFont="1" applyFill="1" applyBorder="1" applyAlignment="1">
      <alignment horizontal="left" indent="1"/>
    </xf>
    <xf numFmtId="166" fontId="5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/>
    <xf numFmtId="166" fontId="8" fillId="0" borderId="0" xfId="1" applyNumberFormat="1" applyFont="1" applyFill="1" applyBorder="1" applyAlignment="1">
      <alignment horizontal="left"/>
    </xf>
    <xf numFmtId="166" fontId="5" fillId="0" borderId="0" xfId="0" applyNumberFormat="1" applyFont="1"/>
    <xf numFmtId="0" fontId="9" fillId="0" borderId="0" xfId="0" applyFont="1"/>
    <xf numFmtId="166" fontId="6" fillId="0" borderId="0" xfId="1" applyNumberFormat="1" applyFont="1" applyBorder="1"/>
    <xf numFmtId="166" fontId="5" fillId="0" borderId="0" xfId="1" applyNumberFormat="1" applyFont="1" applyBorder="1" applyAlignment="1">
      <alignment horizontal="left"/>
    </xf>
    <xf numFmtId="164" fontId="5" fillId="0" borderId="0" xfId="1" applyFont="1"/>
    <xf numFmtId="168" fontId="11" fillId="0" borderId="0" xfId="6" applyNumberFormat="1" applyFont="1" applyBorder="1" applyAlignment="1">
      <alignment horizontal="right" vertical="center"/>
    </xf>
    <xf numFmtId="165" fontId="11" fillId="0" borderId="0" xfId="2" applyNumberFormat="1" applyFont="1" applyBorder="1" applyAlignment="1">
      <alignment horizontal="right" vertical="center"/>
    </xf>
    <xf numFmtId="166" fontId="11" fillId="0" borderId="0" xfId="1" applyNumberFormat="1" applyFont="1" applyBorder="1" applyAlignment="1">
      <alignment horizontal="right" vertical="center"/>
    </xf>
    <xf numFmtId="166" fontId="11" fillId="0" borderId="0" xfId="1" applyNumberFormat="1" applyFont="1" applyBorder="1" applyAlignment="1">
      <alignment horizontal="left" vertical="center"/>
    </xf>
    <xf numFmtId="164" fontId="5" fillId="0" borderId="0" xfId="1" applyFont="1" applyAlignment="1">
      <alignment vertical="center"/>
    </xf>
    <xf numFmtId="166" fontId="6" fillId="0" borderId="5" xfId="1" applyNumberFormat="1" applyFont="1" applyBorder="1"/>
    <xf numFmtId="166" fontId="6" fillId="0" borderId="6" xfId="1" applyNumberFormat="1" applyFont="1" applyBorder="1"/>
    <xf numFmtId="166" fontId="5" fillId="0" borderId="5" xfId="1" applyNumberFormat="1" applyFont="1" applyBorder="1" applyAlignment="1">
      <alignment horizontal="left"/>
    </xf>
    <xf numFmtId="166" fontId="5" fillId="0" borderId="6" xfId="1" applyNumberFormat="1" applyFont="1" applyBorder="1" applyAlignment="1">
      <alignment horizontal="left"/>
    </xf>
    <xf numFmtId="166" fontId="6" fillId="0" borderId="5" xfId="1" applyNumberFormat="1" applyFont="1" applyBorder="1" applyAlignment="1">
      <alignment horizontal="left"/>
    </xf>
    <xf numFmtId="166" fontId="6" fillId="0" borderId="0" xfId="1" applyNumberFormat="1" applyFont="1" applyBorder="1" applyAlignment="1">
      <alignment horizontal="left"/>
    </xf>
    <xf numFmtId="166" fontId="6" fillId="0" borderId="6" xfId="1" applyNumberFormat="1" applyFont="1" applyBorder="1" applyAlignment="1">
      <alignment horizontal="left"/>
    </xf>
    <xf numFmtId="166" fontId="8" fillId="0" borderId="5" xfId="1" applyNumberFormat="1" applyFont="1" applyBorder="1" applyAlignment="1">
      <alignment horizontal="left"/>
    </xf>
    <xf numFmtId="166" fontId="8" fillId="0" borderId="0" xfId="1" applyNumberFormat="1" applyFont="1" applyBorder="1" applyAlignment="1">
      <alignment horizontal="left"/>
    </xf>
    <xf numFmtId="166" fontId="8" fillId="0" borderId="6" xfId="1" applyNumberFormat="1" applyFont="1" applyBorder="1" applyAlignment="1">
      <alignment horizontal="left"/>
    </xf>
    <xf numFmtId="166" fontId="8" fillId="0" borderId="5" xfId="1" applyNumberFormat="1" applyFont="1" applyBorder="1" applyAlignment="1">
      <alignment horizontal="left" indent="2"/>
    </xf>
    <xf numFmtId="166" fontId="8" fillId="0" borderId="0" xfId="1" applyNumberFormat="1" applyFont="1" applyBorder="1" applyAlignment="1">
      <alignment horizontal="left" indent="2"/>
    </xf>
    <xf numFmtId="166" fontId="8" fillId="0" borderId="6" xfId="1" applyNumberFormat="1" applyFont="1" applyBorder="1" applyAlignment="1">
      <alignment horizontal="left" indent="2"/>
    </xf>
    <xf numFmtId="166" fontId="8" fillId="0" borderId="5" xfId="1" applyNumberFormat="1" applyFont="1" applyFill="1" applyBorder="1" applyAlignment="1">
      <alignment horizontal="left" indent="1"/>
    </xf>
    <xf numFmtId="166" fontId="8" fillId="0" borderId="6" xfId="1" applyNumberFormat="1" applyFont="1" applyFill="1" applyBorder="1" applyAlignment="1">
      <alignment horizontal="left" indent="1"/>
    </xf>
    <xf numFmtId="166" fontId="6" fillId="0" borderId="5" xfId="1" applyNumberFormat="1" applyFont="1" applyFill="1" applyBorder="1"/>
    <xf numFmtId="166" fontId="5" fillId="0" borderId="7" xfId="1" applyNumberFormat="1" applyFont="1" applyBorder="1" applyAlignment="1">
      <alignment horizontal="left"/>
    </xf>
    <xf numFmtId="166" fontId="5" fillId="0" borderId="1" xfId="1" applyNumberFormat="1" applyFont="1" applyBorder="1" applyAlignment="1">
      <alignment horizontal="left"/>
    </xf>
    <xf numFmtId="166" fontId="5" fillId="0" borderId="8" xfId="1" applyNumberFormat="1" applyFont="1" applyBorder="1" applyAlignment="1">
      <alignment horizontal="left"/>
    </xf>
    <xf numFmtId="164" fontId="6" fillId="0" borderId="5" xfId="1" applyFont="1" applyBorder="1" applyAlignment="1">
      <alignment horizontal="left"/>
    </xf>
    <xf numFmtId="164" fontId="5" fillId="0" borderId="5" xfId="1" applyFont="1" applyBorder="1" applyAlignment="1">
      <alignment horizontal="left"/>
    </xf>
    <xf numFmtId="164" fontId="8" fillId="0" borderId="5" xfId="1" applyFont="1" applyBorder="1" applyAlignment="1">
      <alignment horizontal="left"/>
    </xf>
    <xf numFmtId="164" fontId="8" fillId="0" borderId="5" xfId="1" applyFont="1" applyBorder="1" applyAlignment="1">
      <alignment horizontal="left" indent="2"/>
    </xf>
    <xf numFmtId="164" fontId="5" fillId="0" borderId="7" xfId="1" applyFont="1" applyBorder="1" applyAlignment="1">
      <alignment horizontal="left"/>
    </xf>
    <xf numFmtId="164" fontId="6" fillId="2" borderId="10" xfId="1" applyFont="1" applyFill="1" applyBorder="1" applyAlignment="1">
      <alignment horizontal="left"/>
    </xf>
    <xf numFmtId="166" fontId="6" fillId="2" borderId="10" xfId="1" applyNumberFormat="1" applyFont="1" applyFill="1" applyBorder="1"/>
    <xf numFmtId="166" fontId="6" fillId="2" borderId="11" xfId="1" applyNumberFormat="1" applyFont="1" applyFill="1" applyBorder="1"/>
    <xf numFmtId="166" fontId="6" fillId="2" borderId="12" xfId="1" applyNumberFormat="1" applyFont="1" applyFill="1" applyBorder="1"/>
    <xf numFmtId="166" fontId="6" fillId="2" borderId="10" xfId="1" applyNumberFormat="1" applyFont="1" applyFill="1" applyBorder="1" applyAlignment="1">
      <alignment horizontal="left"/>
    </xf>
    <xf numFmtId="166" fontId="6" fillId="2" borderId="11" xfId="1" applyNumberFormat="1" applyFont="1" applyFill="1" applyBorder="1" applyAlignment="1">
      <alignment horizontal="left"/>
    </xf>
    <xf numFmtId="166" fontId="6" fillId="2" borderId="12" xfId="1" applyNumberFormat="1" applyFont="1" applyFill="1" applyBorder="1" applyAlignment="1">
      <alignment horizontal="left"/>
    </xf>
    <xf numFmtId="166" fontId="8" fillId="0" borderId="5" xfId="1" applyNumberFormat="1" applyFont="1" applyFill="1" applyBorder="1"/>
    <xf numFmtId="166" fontId="5" fillId="0" borderId="5" xfId="1" applyNumberFormat="1" applyFont="1" applyFill="1" applyBorder="1"/>
    <xf numFmtId="166" fontId="5" fillId="0" borderId="5" xfId="1" applyNumberFormat="1" applyFont="1" applyFill="1" applyBorder="1" applyAlignment="1">
      <alignment vertical="center"/>
    </xf>
    <xf numFmtId="166" fontId="8" fillId="0" borderId="5" xfId="1" applyNumberFormat="1" applyFont="1" applyFill="1" applyBorder="1" applyAlignment="1">
      <alignment horizontal="left"/>
    </xf>
    <xf numFmtId="166" fontId="6" fillId="0" borderId="5" xfId="0" applyNumberFormat="1" applyFont="1" applyBorder="1"/>
    <xf numFmtId="166" fontId="6" fillId="0" borderId="0" xfId="0" applyNumberFormat="1" applyFont="1"/>
    <xf numFmtId="166" fontId="6" fillId="0" borderId="6" xfId="0" applyNumberFormat="1" applyFont="1" applyBorder="1"/>
    <xf numFmtId="166" fontId="6" fillId="0" borderId="5" xfId="1" applyNumberFormat="1" applyFont="1" applyFill="1" applyBorder="1" applyAlignment="1">
      <alignment horizontal="left"/>
    </xf>
    <xf numFmtId="166" fontId="6" fillId="0" borderId="0" xfId="1" applyNumberFormat="1" applyFont="1" applyFill="1" applyBorder="1" applyAlignment="1">
      <alignment horizontal="left"/>
    </xf>
    <xf numFmtId="165" fontId="11" fillId="0" borderId="6" xfId="2" applyNumberFormat="1" applyFont="1" applyBorder="1" applyAlignment="1">
      <alignment horizontal="right" vertical="center"/>
    </xf>
    <xf numFmtId="166" fontId="11" fillId="0" borderId="5" xfId="1" applyNumberFormat="1" applyFont="1" applyBorder="1" applyAlignment="1">
      <alignment horizontal="right" vertical="center"/>
    </xf>
    <xf numFmtId="166" fontId="11" fillId="0" borderId="6" xfId="1" applyNumberFormat="1" applyFont="1" applyBorder="1" applyAlignment="1">
      <alignment horizontal="right" vertical="center"/>
    </xf>
    <xf numFmtId="165" fontId="11" fillId="0" borderId="5" xfId="2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165" fontId="11" fillId="0" borderId="9" xfId="2" applyNumberFormat="1" applyFont="1" applyBorder="1" applyAlignment="1">
      <alignment horizontal="right" vertical="center"/>
    </xf>
    <xf numFmtId="165" fontId="11" fillId="0" borderId="4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167" fontId="11" fillId="0" borderId="0" xfId="1" applyNumberFormat="1" applyFont="1" applyBorder="1" applyAlignment="1">
      <alignment horizontal="right" vertical="center"/>
    </xf>
    <xf numFmtId="167" fontId="11" fillId="0" borderId="6" xfId="1" applyNumberFormat="1" applyFont="1" applyBorder="1" applyAlignment="1">
      <alignment horizontal="right" vertical="center"/>
    </xf>
    <xf numFmtId="165" fontId="11" fillId="0" borderId="3" xfId="2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166" fontId="11" fillId="0" borderId="6" xfId="1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68" fontId="11" fillId="0" borderId="5" xfId="6" applyNumberFormat="1" applyFont="1" applyBorder="1" applyAlignment="1">
      <alignment horizontal="right" vertical="center"/>
    </xf>
    <xf numFmtId="168" fontId="11" fillId="0" borderId="6" xfId="6" applyNumberFormat="1" applyFont="1" applyBorder="1" applyAlignment="1">
      <alignment horizontal="right" vertical="center"/>
    </xf>
    <xf numFmtId="164" fontId="5" fillId="0" borderId="3" xfId="1" applyFont="1" applyBorder="1" applyAlignment="1">
      <alignment vertical="center"/>
    </xf>
    <xf numFmtId="164" fontId="5" fillId="0" borderId="5" xfId="1" applyFont="1" applyBorder="1" applyAlignment="1">
      <alignment vertical="center"/>
    </xf>
    <xf numFmtId="164" fontId="5" fillId="0" borderId="7" xfId="1" applyFont="1" applyBorder="1" applyAlignment="1">
      <alignment vertical="center"/>
    </xf>
    <xf numFmtId="0" fontId="4" fillId="3" borderId="0" xfId="3" applyFont="1" applyFill="1"/>
    <xf numFmtId="164" fontId="7" fillId="3" borderId="3" xfId="1" applyFont="1" applyFill="1" applyBorder="1" applyAlignment="1">
      <alignment horizontal="center" vertical="center"/>
    </xf>
    <xf numFmtId="164" fontId="7" fillId="3" borderId="9" xfId="1" applyFont="1" applyFill="1" applyBorder="1" applyAlignment="1">
      <alignment horizontal="center" vertical="center"/>
    </xf>
    <xf numFmtId="164" fontId="7" fillId="3" borderId="4" xfId="1" applyFont="1" applyFill="1" applyBorder="1" applyAlignment="1">
      <alignment horizontal="center" vertical="center"/>
    </xf>
    <xf numFmtId="166" fontId="7" fillId="3" borderId="9" xfId="1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13" fillId="0" borderId="5" xfId="1" applyFont="1" applyBorder="1" applyAlignment="1">
      <alignment vertical="center"/>
    </xf>
    <xf numFmtId="164" fontId="15" fillId="2" borderId="10" xfId="1" applyFont="1" applyFill="1" applyBorder="1" applyAlignment="1">
      <alignment vertical="center"/>
    </xf>
    <xf numFmtId="166" fontId="13" fillId="0" borderId="0" xfId="1" applyNumberFormat="1" applyFont="1" applyAlignment="1">
      <alignment vertical="center"/>
    </xf>
    <xf numFmtId="164" fontId="15" fillId="0" borderId="0" xfId="1" applyFont="1" applyAlignment="1">
      <alignment vertical="center"/>
    </xf>
    <xf numFmtId="164" fontId="13" fillId="0" borderId="3" xfId="1" applyFont="1" applyBorder="1" applyAlignment="1">
      <alignment vertical="center"/>
    </xf>
    <xf numFmtId="164" fontId="13" fillId="0" borderId="7" xfId="1" applyFont="1" applyBorder="1" applyAlignment="1">
      <alignment vertical="center"/>
    </xf>
    <xf numFmtId="164" fontId="13" fillId="0" borderId="0" xfId="1" applyFont="1" applyBorder="1" applyAlignment="1">
      <alignment vertical="center"/>
    </xf>
    <xf numFmtId="10" fontId="11" fillId="0" borderId="0" xfId="2" applyNumberFormat="1" applyFont="1" applyBorder="1" applyAlignment="1">
      <alignment horizontal="right" vertical="center"/>
    </xf>
    <xf numFmtId="10" fontId="11" fillId="0" borderId="6" xfId="2" applyNumberFormat="1" applyFont="1" applyBorder="1" applyAlignment="1">
      <alignment horizontal="right" vertical="center"/>
    </xf>
    <xf numFmtId="10" fontId="11" fillId="0" borderId="5" xfId="2" applyNumberFormat="1" applyFont="1" applyBorder="1" applyAlignment="1">
      <alignment horizontal="right" vertical="center"/>
    </xf>
    <xf numFmtId="166" fontId="11" fillId="0" borderId="9" xfId="1" applyNumberFormat="1" applyFont="1" applyBorder="1" applyAlignment="1">
      <alignment horizontal="right" vertical="center"/>
    </xf>
    <xf numFmtId="166" fontId="11" fillId="0" borderId="4" xfId="1" applyNumberFormat="1" applyFont="1" applyBorder="1" applyAlignment="1">
      <alignment horizontal="right" vertical="center"/>
    </xf>
    <xf numFmtId="166" fontId="11" fillId="0" borderId="3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6" fontId="13" fillId="0" borderId="0" xfId="1" applyNumberFormat="1" applyFont="1" applyAlignment="1">
      <alignment horizontal="center" vertical="center"/>
    </xf>
    <xf numFmtId="166" fontId="14" fillId="3" borderId="9" xfId="1" applyNumberFormat="1" applyFont="1" applyFill="1" applyBorder="1" applyAlignment="1">
      <alignment horizontal="center" vertical="center"/>
    </xf>
    <xf numFmtId="166" fontId="14" fillId="3" borderId="3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Alignment="1">
      <alignment horizontal="center" vertical="center"/>
    </xf>
    <xf numFmtId="166" fontId="7" fillId="3" borderId="4" xfId="1" applyNumberFormat="1" applyFont="1" applyFill="1" applyBorder="1" applyAlignment="1">
      <alignment horizontal="center" vertical="center"/>
    </xf>
    <xf numFmtId="166" fontId="7" fillId="3" borderId="3" xfId="1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4" fontId="5" fillId="0" borderId="0" xfId="1" applyFont="1" applyAlignment="1">
      <alignment horizontal="center" vertical="center"/>
    </xf>
    <xf numFmtId="164" fontId="7" fillId="3" borderId="3" xfId="1" applyFont="1" applyFill="1" applyBorder="1" applyAlignment="1">
      <alignment horizontal="left" vertical="center"/>
    </xf>
    <xf numFmtId="0" fontId="4" fillId="3" borderId="0" xfId="3" applyFont="1" applyFill="1" applyAlignment="1">
      <alignment vertical="center"/>
    </xf>
    <xf numFmtId="0" fontId="5" fillId="0" borderId="0" xfId="0" applyFont="1" applyAlignment="1">
      <alignment vertical="center"/>
    </xf>
    <xf numFmtId="166" fontId="5" fillId="0" borderId="9" xfId="1" applyNumberFormat="1" applyFont="1" applyBorder="1" applyAlignment="1">
      <alignment vertical="center"/>
    </xf>
    <xf numFmtId="166" fontId="5" fillId="0" borderId="4" xfId="1" applyNumberFormat="1" applyFont="1" applyBorder="1" applyAlignment="1">
      <alignment vertical="center"/>
    </xf>
    <xf numFmtId="166" fontId="5" fillId="0" borderId="3" xfId="1" applyNumberFormat="1" applyFont="1" applyBorder="1" applyAlignment="1">
      <alignment vertical="center"/>
    </xf>
    <xf numFmtId="166" fontId="5" fillId="0" borderId="0" xfId="1" applyNumberFormat="1" applyFont="1" applyBorder="1" applyAlignment="1">
      <alignment vertical="center"/>
    </xf>
    <xf numFmtId="166" fontId="5" fillId="0" borderId="6" xfId="1" applyNumberFormat="1" applyFont="1" applyBorder="1" applyAlignment="1">
      <alignment vertical="center"/>
    </xf>
    <xf numFmtId="166" fontId="5" fillId="0" borderId="5" xfId="1" applyNumberFormat="1" applyFont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164" fontId="5" fillId="0" borderId="3" xfId="1" applyFont="1" applyBorder="1" applyAlignment="1">
      <alignment horizontal="left" vertical="center"/>
    </xf>
    <xf numFmtId="165" fontId="5" fillId="0" borderId="9" xfId="2" applyNumberFormat="1" applyFont="1" applyBorder="1" applyAlignment="1">
      <alignment vertical="center"/>
    </xf>
    <xf numFmtId="165" fontId="5" fillId="0" borderId="4" xfId="2" applyNumberFormat="1" applyFont="1" applyBorder="1" applyAlignment="1">
      <alignment vertical="center"/>
    </xf>
    <xf numFmtId="165" fontId="5" fillId="0" borderId="5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165" fontId="5" fillId="0" borderId="6" xfId="2" applyNumberFormat="1" applyFont="1" applyBorder="1" applyAlignment="1">
      <alignment vertical="center"/>
    </xf>
    <xf numFmtId="164" fontId="5" fillId="0" borderId="5" xfId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65" fontId="8" fillId="0" borderId="0" xfId="2" applyNumberFormat="1" applyFont="1" applyBorder="1" applyAlignment="1">
      <alignment vertical="center"/>
    </xf>
    <xf numFmtId="167" fontId="5" fillId="0" borderId="5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vertical="center"/>
    </xf>
    <xf numFmtId="167" fontId="5" fillId="0" borderId="6" xfId="1" applyNumberFormat="1" applyFont="1" applyBorder="1" applyAlignment="1">
      <alignment vertical="center"/>
    </xf>
    <xf numFmtId="167" fontId="5" fillId="0" borderId="0" xfId="1" applyNumberFormat="1" applyFont="1" applyAlignment="1">
      <alignment vertical="center"/>
    </xf>
    <xf numFmtId="167" fontId="5" fillId="0" borderId="5" xfId="1" applyNumberFormat="1" applyFont="1" applyBorder="1" applyAlignment="1">
      <alignment vertical="center"/>
    </xf>
    <xf numFmtId="164" fontId="6" fillId="2" borderId="10" xfId="1" applyFont="1" applyFill="1" applyBorder="1" applyAlignment="1">
      <alignment horizontal="left" vertical="center"/>
    </xf>
    <xf numFmtId="165" fontId="5" fillId="0" borderId="9" xfId="2" applyNumberFormat="1" applyFont="1" applyFill="1" applyBorder="1" applyAlignment="1">
      <alignment vertical="center"/>
    </xf>
    <xf numFmtId="164" fontId="5" fillId="0" borderId="7" xfId="1" applyFont="1" applyBorder="1" applyAlignment="1">
      <alignment horizontal="left" vertical="center"/>
    </xf>
    <xf numFmtId="165" fontId="5" fillId="0" borderId="1" xfId="2" applyNumberFormat="1" applyFont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5" fillId="0" borderId="8" xfId="2" applyNumberFormat="1" applyFont="1" applyBorder="1" applyAlignment="1">
      <alignment vertical="center"/>
    </xf>
    <xf numFmtId="164" fontId="5" fillId="0" borderId="0" xfId="1" applyFont="1" applyBorder="1" applyAlignment="1">
      <alignment horizontal="left" vertical="center"/>
    </xf>
    <xf numFmtId="165" fontId="5" fillId="0" borderId="0" xfId="2" applyNumberFormat="1" applyFont="1" applyFill="1" applyBorder="1" applyAlignment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165" fontId="5" fillId="0" borderId="3" xfId="2" applyNumberFormat="1" applyFont="1" applyBorder="1" applyAlignment="1">
      <alignment vertical="center"/>
    </xf>
    <xf numFmtId="165" fontId="5" fillId="0" borderId="6" xfId="2" applyNumberFormat="1" applyFont="1" applyFill="1" applyBorder="1" applyAlignment="1">
      <alignment vertical="center"/>
    </xf>
    <xf numFmtId="164" fontId="5" fillId="0" borderId="0" xfId="1" applyFont="1" applyBorder="1" applyAlignment="1">
      <alignment vertical="center"/>
    </xf>
    <xf numFmtId="165" fontId="5" fillId="0" borderId="5" xfId="2" applyNumberFormat="1" applyFont="1" applyFill="1" applyBorder="1" applyAlignment="1">
      <alignment vertical="center"/>
    </xf>
    <xf numFmtId="9" fontId="6" fillId="2" borderId="10" xfId="2" applyFont="1" applyFill="1" applyBorder="1" applyAlignment="1">
      <alignment vertical="center"/>
    </xf>
    <xf numFmtId="9" fontId="6" fillId="2" borderId="11" xfId="2" applyFont="1" applyFill="1" applyBorder="1" applyAlignment="1">
      <alignment vertical="center"/>
    </xf>
    <xf numFmtId="9" fontId="6" fillId="2" borderId="12" xfId="2" applyFont="1" applyFill="1" applyBorder="1" applyAlignment="1">
      <alignment vertical="center"/>
    </xf>
    <xf numFmtId="9" fontId="5" fillId="0" borderId="0" xfId="2" applyFont="1" applyAlignment="1">
      <alignment vertical="center"/>
    </xf>
    <xf numFmtId="164" fontId="6" fillId="2" borderId="10" xfId="1" applyFont="1" applyFill="1" applyBorder="1" applyAlignment="1">
      <alignment vertical="center"/>
    </xf>
    <xf numFmtId="166" fontId="6" fillId="2" borderId="11" xfId="1" applyNumberFormat="1" applyFont="1" applyFill="1" applyBorder="1" applyAlignment="1">
      <alignment vertical="center"/>
    </xf>
    <xf numFmtId="166" fontId="6" fillId="2" borderId="12" xfId="1" applyNumberFormat="1" applyFont="1" applyFill="1" applyBorder="1" applyAlignment="1">
      <alignment vertical="center"/>
    </xf>
    <xf numFmtId="166" fontId="6" fillId="2" borderId="10" xfId="1" applyNumberFormat="1" applyFont="1" applyFill="1" applyBorder="1" applyAlignment="1">
      <alignment vertical="center"/>
    </xf>
    <xf numFmtId="164" fontId="6" fillId="0" borderId="0" xfId="1" applyFont="1" applyBorder="1" applyAlignment="1">
      <alignment vertical="center"/>
    </xf>
    <xf numFmtId="166" fontId="6" fillId="0" borderId="0" xfId="1" applyNumberFormat="1" applyFont="1" applyBorder="1" applyAlignment="1">
      <alignment vertical="center"/>
    </xf>
    <xf numFmtId="164" fontId="7" fillId="3" borderId="3" xfId="1" applyFont="1" applyFill="1" applyBorder="1" applyAlignment="1">
      <alignment vertical="center"/>
    </xf>
    <xf numFmtId="166" fontId="5" fillId="0" borderId="9" xfId="4" applyNumberFormat="1" applyFont="1" applyFill="1" applyBorder="1" applyAlignment="1">
      <alignment vertical="center"/>
    </xf>
    <xf numFmtId="166" fontId="5" fillId="0" borderId="4" xfId="4" applyNumberFormat="1" applyFont="1" applyFill="1" applyBorder="1" applyAlignment="1">
      <alignment vertical="center"/>
    </xf>
    <xf numFmtId="166" fontId="5" fillId="0" borderId="7" xfId="1" applyNumberFormat="1" applyFont="1" applyBorder="1" applyAlignment="1">
      <alignment vertical="center"/>
    </xf>
    <xf numFmtId="166" fontId="5" fillId="0" borderId="1" xfId="1" applyNumberFormat="1" applyFont="1" applyBorder="1" applyAlignment="1">
      <alignment vertical="center"/>
    </xf>
    <xf numFmtId="166" fontId="5" fillId="0" borderId="8" xfId="1" applyNumberFormat="1" applyFont="1" applyBorder="1" applyAlignment="1">
      <alignment vertical="center"/>
    </xf>
    <xf numFmtId="166" fontId="5" fillId="0" borderId="0" xfId="1" applyNumberFormat="1" applyFont="1" applyFill="1" applyAlignment="1">
      <alignment vertical="center"/>
    </xf>
    <xf numFmtId="166" fontId="5" fillId="0" borderId="0" xfId="1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5" fillId="0" borderId="5" xfId="1" applyNumberFormat="1" applyFont="1" applyBorder="1" applyAlignment="1">
      <alignment horizontal="left" vertical="center"/>
    </xf>
    <xf numFmtId="166" fontId="5" fillId="0" borderId="0" xfId="1" applyNumberFormat="1" applyFont="1" applyBorder="1" applyAlignment="1">
      <alignment horizontal="left" vertical="center"/>
    </xf>
    <xf numFmtId="166" fontId="5" fillId="0" borderId="6" xfId="1" applyNumberFormat="1" applyFont="1" applyBorder="1" applyAlignment="1">
      <alignment horizontal="left" vertical="center"/>
    </xf>
    <xf numFmtId="166" fontId="6" fillId="2" borderId="10" xfId="1" applyNumberFormat="1" applyFont="1" applyFill="1" applyBorder="1" applyAlignment="1">
      <alignment horizontal="left" vertical="center"/>
    </xf>
    <xf numFmtId="166" fontId="6" fillId="2" borderId="11" xfId="1" applyNumberFormat="1" applyFont="1" applyFill="1" applyBorder="1" applyAlignment="1">
      <alignment horizontal="left" vertical="center"/>
    </xf>
    <xf numFmtId="166" fontId="6" fillId="2" borderId="12" xfId="1" applyNumberFormat="1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vertical="center"/>
    </xf>
    <xf numFmtId="166" fontId="5" fillId="0" borderId="1" xfId="1" applyNumberFormat="1" applyFont="1" applyBorder="1" applyAlignment="1">
      <alignment horizontal="left" vertical="center"/>
    </xf>
    <xf numFmtId="164" fontId="5" fillId="0" borderId="0" xfId="1" applyFont="1" applyAlignment="1">
      <alignment horizontal="left" vertical="center"/>
    </xf>
    <xf numFmtId="166" fontId="4" fillId="3" borderId="0" xfId="1" applyNumberFormat="1" applyFont="1" applyFill="1" applyAlignment="1">
      <alignment vertical="center"/>
    </xf>
    <xf numFmtId="164" fontId="6" fillId="0" borderId="0" xfId="1" applyFont="1" applyAlignment="1">
      <alignment vertical="center"/>
    </xf>
    <xf numFmtId="166" fontId="6" fillId="0" borderId="0" xfId="1" applyNumberFormat="1" applyFont="1" applyAlignment="1">
      <alignment vertical="center"/>
    </xf>
    <xf numFmtId="164" fontId="10" fillId="0" borderId="5" xfId="1" applyFont="1" applyBorder="1" applyAlignment="1">
      <alignment horizontal="left" vertical="center"/>
    </xf>
    <xf numFmtId="166" fontId="5" fillId="0" borderId="9" xfId="1" applyNumberFormat="1" applyFont="1" applyBorder="1" applyAlignment="1">
      <alignment horizontal="left" vertical="center"/>
    </xf>
    <xf numFmtId="166" fontId="10" fillId="0" borderId="0" xfId="1" applyNumberFormat="1" applyFont="1" applyBorder="1" applyAlignment="1">
      <alignment horizontal="left" vertical="center"/>
    </xf>
    <xf numFmtId="166" fontId="10" fillId="0" borderId="6" xfId="1" applyNumberFormat="1" applyFont="1" applyBorder="1" applyAlignment="1">
      <alignment horizontal="left" vertical="center"/>
    </xf>
    <xf numFmtId="166" fontId="10" fillId="0" borderId="5" xfId="1" applyNumberFormat="1" applyFont="1" applyBorder="1" applyAlignment="1">
      <alignment horizontal="left" vertical="center"/>
    </xf>
    <xf numFmtId="166" fontId="6" fillId="0" borderId="0" xfId="1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165" fontId="5" fillId="0" borderId="0" xfId="2" applyNumberFormat="1" applyFont="1" applyBorder="1" applyAlignment="1">
      <alignment horizontal="right" vertical="center"/>
    </xf>
    <xf numFmtId="165" fontId="5" fillId="0" borderId="6" xfId="2" applyNumberFormat="1" applyFont="1" applyBorder="1" applyAlignment="1">
      <alignment horizontal="right" vertical="center"/>
    </xf>
    <xf numFmtId="165" fontId="5" fillId="0" borderId="5" xfId="2" applyNumberFormat="1" applyFont="1" applyBorder="1" applyAlignment="1">
      <alignment horizontal="right" vertical="center"/>
    </xf>
    <xf numFmtId="165" fontId="6" fillId="2" borderId="11" xfId="2" applyNumberFormat="1" applyFont="1" applyFill="1" applyBorder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5" fontId="5" fillId="0" borderId="9" xfId="2" applyNumberFormat="1" applyFont="1" applyBorder="1" applyAlignment="1">
      <alignment horizontal="right" vertical="center"/>
    </xf>
    <xf numFmtId="165" fontId="5" fillId="0" borderId="4" xfId="2" applyNumberFormat="1" applyFont="1" applyBorder="1" applyAlignment="1">
      <alignment horizontal="right" vertical="center"/>
    </xf>
    <xf numFmtId="10" fontId="5" fillId="0" borderId="0" xfId="2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0" fontId="5" fillId="0" borderId="0" xfId="2" applyNumberFormat="1" applyFont="1" applyAlignment="1">
      <alignment vertical="center"/>
    </xf>
    <xf numFmtId="165" fontId="8" fillId="0" borderId="0" xfId="2" applyNumberFormat="1" applyFont="1" applyBorder="1" applyAlignment="1">
      <alignment horizontal="right" vertical="center"/>
    </xf>
    <xf numFmtId="165" fontId="8" fillId="0" borderId="6" xfId="2" applyNumberFormat="1" applyFont="1" applyBorder="1" applyAlignment="1">
      <alignment horizontal="right" vertical="center"/>
    </xf>
    <xf numFmtId="165" fontId="8" fillId="0" borderId="5" xfId="2" applyNumberFormat="1" applyFont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6" fontId="5" fillId="0" borderId="4" xfId="6" applyNumberFormat="1" applyFont="1" applyBorder="1" applyAlignment="1">
      <alignment horizontal="right" vertical="center"/>
    </xf>
    <xf numFmtId="0" fontId="4" fillId="0" borderId="0" xfId="3" applyFont="1" applyFill="1" applyAlignment="1">
      <alignment vertical="center"/>
    </xf>
    <xf numFmtId="164" fontId="5" fillId="0" borderId="0" xfId="1" applyFont="1" applyFill="1" applyAlignment="1">
      <alignment vertical="center"/>
    </xf>
    <xf numFmtId="166" fontId="4" fillId="0" borderId="0" xfId="1" applyNumberFormat="1" applyFont="1" applyFill="1" applyAlignment="1">
      <alignment vertical="center"/>
    </xf>
    <xf numFmtId="10" fontId="5" fillId="0" borderId="0" xfId="0" applyNumberFormat="1" applyFont="1" applyAlignment="1">
      <alignment vertical="center"/>
    </xf>
    <xf numFmtId="10" fontId="5" fillId="0" borderId="6" xfId="0" applyNumberFormat="1" applyFont="1" applyBorder="1" applyAlignment="1">
      <alignment vertical="center"/>
    </xf>
    <xf numFmtId="10" fontId="5" fillId="0" borderId="5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0" fontId="5" fillId="0" borderId="8" xfId="0" applyNumberFormat="1" applyFont="1" applyBorder="1" applyAlignment="1">
      <alignment vertical="center"/>
    </xf>
    <xf numFmtId="10" fontId="5" fillId="0" borderId="7" xfId="0" applyNumberFormat="1" applyFont="1" applyBorder="1" applyAlignment="1">
      <alignment vertical="center"/>
    </xf>
    <xf numFmtId="164" fontId="6" fillId="2" borderId="5" xfId="1" applyFont="1" applyFill="1" applyBorder="1" applyAlignment="1">
      <alignment vertical="center"/>
    </xf>
    <xf numFmtId="164" fontId="6" fillId="2" borderId="0" xfId="1" applyFont="1" applyFill="1" applyBorder="1" applyAlignment="1">
      <alignment vertical="center"/>
    </xf>
    <xf numFmtId="164" fontId="6" fillId="2" borderId="6" xfId="1" applyFont="1" applyFill="1" applyBorder="1" applyAlignment="1">
      <alignment vertical="center"/>
    </xf>
    <xf numFmtId="10" fontId="5" fillId="0" borderId="9" xfId="2" applyNumberFormat="1" applyFont="1" applyBorder="1" applyAlignment="1">
      <alignment vertical="center"/>
    </xf>
    <xf numFmtId="10" fontId="5" fillId="0" borderId="4" xfId="2" applyNumberFormat="1" applyFont="1" applyBorder="1" applyAlignment="1">
      <alignment vertical="center"/>
    </xf>
    <xf numFmtId="10" fontId="5" fillId="0" borderId="3" xfId="2" applyNumberFormat="1" applyFont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10" fontId="5" fillId="0" borderId="0" xfId="2" applyNumberFormat="1" applyFont="1" applyBorder="1" applyAlignment="1">
      <alignment horizontal="right" vertical="center"/>
    </xf>
    <xf numFmtId="10" fontId="5" fillId="0" borderId="6" xfId="2" applyNumberFormat="1" applyFont="1" applyBorder="1" applyAlignment="1">
      <alignment horizontal="right" vertical="center"/>
    </xf>
    <xf numFmtId="10" fontId="6" fillId="2" borderId="11" xfId="2" applyNumberFormat="1" applyFont="1" applyFill="1" applyBorder="1" applyAlignment="1">
      <alignment horizontal="right" vertical="center"/>
    </xf>
    <xf numFmtId="10" fontId="6" fillId="2" borderId="12" xfId="2" applyNumberFormat="1" applyFont="1" applyFill="1" applyBorder="1" applyAlignment="1">
      <alignment horizontal="right" vertical="center"/>
    </xf>
    <xf numFmtId="166" fontId="12" fillId="3" borderId="0" xfId="1" applyNumberFormat="1" applyFont="1" applyFill="1" applyAlignment="1">
      <alignment vertical="center"/>
    </xf>
    <xf numFmtId="164" fontId="13" fillId="0" borderId="0" xfId="1" applyFont="1" applyAlignment="1">
      <alignment vertical="center"/>
    </xf>
    <xf numFmtId="166" fontId="13" fillId="0" borderId="0" xfId="1" applyNumberFormat="1" applyFont="1" applyAlignment="1">
      <alignment horizontal="right" vertical="center" wrapText="1"/>
    </xf>
    <xf numFmtId="166" fontId="13" fillId="0" borderId="0" xfId="1" applyNumberFormat="1" applyFont="1" applyAlignment="1">
      <alignment horizontal="right" vertical="center"/>
    </xf>
    <xf numFmtId="166" fontId="13" fillId="2" borderId="5" xfId="1" applyNumberFormat="1" applyFont="1" applyFill="1" applyBorder="1" applyAlignment="1">
      <alignment horizontal="right" vertical="center"/>
    </xf>
    <xf numFmtId="166" fontId="13" fillId="2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 wrapText="1"/>
    </xf>
    <xf numFmtId="166" fontId="13" fillId="0" borderId="0" xfId="1" applyNumberFormat="1" applyFont="1" applyBorder="1" applyAlignment="1">
      <alignment horizontal="right" vertical="center" wrapText="1"/>
    </xf>
    <xf numFmtId="166" fontId="13" fillId="0" borderId="6" xfId="1" applyNumberFormat="1" applyFont="1" applyBorder="1" applyAlignment="1">
      <alignment horizontal="right" vertical="center" wrapText="1"/>
    </xf>
    <xf numFmtId="166" fontId="13" fillId="0" borderId="5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5" fillId="2" borderId="11" xfId="1" applyNumberFormat="1" applyFont="1" applyFill="1" applyBorder="1" applyAlignment="1">
      <alignment horizontal="right" vertical="center" wrapText="1"/>
    </xf>
    <xf numFmtId="166" fontId="15" fillId="2" borderId="10" xfId="1" applyNumberFormat="1" applyFont="1" applyFill="1" applyBorder="1" applyAlignment="1">
      <alignment horizontal="right" vertical="center"/>
    </xf>
    <xf numFmtId="166" fontId="15" fillId="2" borderId="11" xfId="1" applyNumberFormat="1" applyFont="1" applyFill="1" applyBorder="1" applyAlignment="1">
      <alignment horizontal="right" vertical="center"/>
    </xf>
    <xf numFmtId="166" fontId="15" fillId="0" borderId="0" xfId="1" applyNumberFormat="1" applyFont="1" applyFill="1" applyAlignment="1">
      <alignment horizontal="right" vertical="center" wrapText="1"/>
    </xf>
    <xf numFmtId="166" fontId="15" fillId="0" borderId="0" xfId="1" applyNumberFormat="1" applyFont="1" applyFill="1" applyAlignment="1">
      <alignment horizontal="right" vertical="center"/>
    </xf>
    <xf numFmtId="166" fontId="13" fillId="2" borderId="11" xfId="1" applyNumberFormat="1" applyFont="1" applyFill="1" applyBorder="1" applyAlignment="1">
      <alignment horizontal="right" vertical="center" wrapText="1"/>
    </xf>
    <xf numFmtId="166" fontId="13" fillId="2" borderId="12" xfId="1" applyNumberFormat="1" applyFont="1" applyFill="1" applyBorder="1" applyAlignment="1">
      <alignment horizontal="right" vertical="center" wrapText="1"/>
    </xf>
    <xf numFmtId="166" fontId="13" fillId="2" borderId="10" xfId="1" applyNumberFormat="1" applyFont="1" applyFill="1" applyBorder="1" applyAlignment="1">
      <alignment horizontal="right" vertical="center"/>
    </xf>
    <xf numFmtId="166" fontId="13" fillId="2" borderId="11" xfId="1" applyNumberFormat="1" applyFont="1" applyFill="1" applyBorder="1" applyAlignment="1">
      <alignment horizontal="right" vertical="center"/>
    </xf>
    <xf numFmtId="166" fontId="13" fillId="2" borderId="12" xfId="1" applyNumberFormat="1" applyFont="1" applyFill="1" applyBorder="1" applyAlignment="1">
      <alignment horizontal="right" vertical="center"/>
    </xf>
    <xf numFmtId="165" fontId="13" fillId="0" borderId="0" xfId="2" applyNumberFormat="1" applyFont="1" applyAlignment="1">
      <alignment vertical="center"/>
    </xf>
    <xf numFmtId="165" fontId="13" fillId="0" borderId="9" xfId="2" applyNumberFormat="1" applyFont="1" applyFill="1" applyBorder="1" applyAlignment="1">
      <alignment horizontal="right" vertical="center" wrapText="1"/>
    </xf>
    <xf numFmtId="165" fontId="13" fillId="0" borderId="4" xfId="2" applyNumberFormat="1" applyFont="1" applyFill="1" applyBorder="1" applyAlignment="1">
      <alignment horizontal="right" vertical="center" wrapText="1"/>
    </xf>
    <xf numFmtId="165" fontId="13" fillId="0" borderId="3" xfId="2" applyNumberFormat="1" applyFont="1" applyBorder="1" applyAlignment="1">
      <alignment horizontal="right" vertical="center"/>
    </xf>
    <xf numFmtId="165" fontId="13" fillId="0" borderId="9" xfId="2" applyNumberFormat="1" applyFont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 wrapText="1"/>
    </xf>
    <xf numFmtId="165" fontId="13" fillId="0" borderId="6" xfId="2" applyNumberFormat="1" applyFont="1" applyFill="1" applyBorder="1" applyAlignment="1">
      <alignment horizontal="right" vertical="center" wrapText="1"/>
    </xf>
    <xf numFmtId="165" fontId="13" fillId="0" borderId="5" xfId="2" applyNumberFormat="1" applyFont="1" applyBorder="1" applyAlignment="1">
      <alignment horizontal="right" vertical="center"/>
    </xf>
    <xf numFmtId="165" fontId="13" fillId="0" borderId="0" xfId="2" applyNumberFormat="1" applyFont="1" applyBorder="1" applyAlignment="1">
      <alignment horizontal="right" vertical="center"/>
    </xf>
    <xf numFmtId="166" fontId="13" fillId="0" borderId="6" xfId="1" applyNumberFormat="1" applyFont="1" applyFill="1" applyBorder="1" applyAlignment="1">
      <alignment horizontal="right" vertical="center" wrapText="1"/>
    </xf>
    <xf numFmtId="9" fontId="15" fillId="2" borderId="11" xfId="2" applyFont="1" applyFill="1" applyBorder="1" applyAlignment="1">
      <alignment horizontal="right" vertical="center" wrapText="1"/>
    </xf>
    <xf numFmtId="9" fontId="15" fillId="2" borderId="12" xfId="2" applyFont="1" applyFill="1" applyBorder="1" applyAlignment="1">
      <alignment horizontal="right" vertical="center" wrapText="1"/>
    </xf>
    <xf numFmtId="9" fontId="13" fillId="0" borderId="0" xfId="2" applyFont="1" applyAlignment="1">
      <alignment vertical="center"/>
    </xf>
    <xf numFmtId="9" fontId="15" fillId="0" borderId="0" xfId="2" applyFont="1" applyFill="1" applyAlignment="1">
      <alignment horizontal="right" vertical="center" wrapText="1"/>
    </xf>
    <xf numFmtId="9" fontId="15" fillId="0" borderId="0" xfId="2" applyFont="1" applyAlignment="1">
      <alignment horizontal="right" vertical="center"/>
    </xf>
    <xf numFmtId="9" fontId="13" fillId="0" borderId="9" xfId="2" applyFont="1" applyFill="1" applyBorder="1" applyAlignment="1">
      <alignment horizontal="right" vertical="center" wrapText="1"/>
    </xf>
    <xf numFmtId="9" fontId="13" fillId="0" borderId="4" xfId="2" applyFont="1" applyFill="1" applyBorder="1" applyAlignment="1">
      <alignment horizontal="right" vertical="center" wrapText="1"/>
    </xf>
    <xf numFmtId="9" fontId="13" fillId="0" borderId="3" xfId="2" applyFont="1" applyFill="1" applyBorder="1" applyAlignment="1">
      <alignment horizontal="right" vertical="center"/>
    </xf>
    <xf numFmtId="9" fontId="13" fillId="0" borderId="9" xfId="2" applyFont="1" applyFill="1" applyBorder="1" applyAlignment="1">
      <alignment horizontal="right" vertical="center"/>
    </xf>
    <xf numFmtId="9" fontId="13" fillId="0" borderId="1" xfId="2" applyFont="1" applyFill="1" applyBorder="1" applyAlignment="1">
      <alignment horizontal="right" vertical="center" wrapText="1"/>
    </xf>
    <xf numFmtId="9" fontId="13" fillId="0" borderId="8" xfId="2" applyFont="1" applyFill="1" applyBorder="1" applyAlignment="1">
      <alignment horizontal="right" vertical="center" wrapText="1"/>
    </xf>
    <xf numFmtId="9" fontId="13" fillId="0" borderId="7" xfId="2" applyFont="1" applyFill="1" applyBorder="1" applyAlignment="1">
      <alignment horizontal="right" vertical="center"/>
    </xf>
    <xf numFmtId="9" fontId="13" fillId="0" borderId="1" xfId="2" applyFont="1" applyFill="1" applyBorder="1" applyAlignment="1">
      <alignment horizontal="right" vertical="center"/>
    </xf>
    <xf numFmtId="9" fontId="13" fillId="0" borderId="8" xfId="2" applyFont="1" applyFill="1" applyBorder="1" applyAlignment="1">
      <alignment horizontal="right" vertical="center"/>
    </xf>
    <xf numFmtId="9" fontId="13" fillId="0" borderId="0" xfId="2" applyFont="1" applyFill="1" applyBorder="1" applyAlignment="1">
      <alignment horizontal="right" vertical="center" wrapText="1"/>
    </xf>
    <xf numFmtId="9" fontId="13" fillId="0" borderId="0" xfId="2" applyFont="1" applyFill="1" applyBorder="1" applyAlignment="1">
      <alignment horizontal="right" vertical="center"/>
    </xf>
    <xf numFmtId="166" fontId="15" fillId="0" borderId="0" xfId="1" applyNumberFormat="1" applyFont="1" applyAlignment="1">
      <alignment vertical="center"/>
    </xf>
    <xf numFmtId="3" fontId="13" fillId="0" borderId="11" xfId="0" applyNumberFormat="1" applyFont="1" applyBorder="1" applyAlignment="1">
      <alignment horizontal="right" vertical="center" wrapText="1"/>
    </xf>
    <xf numFmtId="3" fontId="13" fillId="0" borderId="12" xfId="0" applyNumberFormat="1" applyFont="1" applyBorder="1" applyAlignment="1">
      <alignment horizontal="right" vertical="center" wrapText="1"/>
    </xf>
    <xf numFmtId="3" fontId="13" fillId="0" borderId="10" xfId="0" applyNumberFormat="1" applyFont="1" applyBorder="1" applyAlignment="1">
      <alignment horizontal="right" vertical="center" wrapText="1"/>
    </xf>
    <xf numFmtId="166" fontId="17" fillId="0" borderId="0" xfId="1" applyNumberFormat="1" applyFont="1" applyAlignment="1">
      <alignment vertical="center"/>
    </xf>
    <xf numFmtId="3" fontId="16" fillId="0" borderId="11" xfId="0" applyNumberFormat="1" applyFont="1" applyBorder="1" applyAlignment="1">
      <alignment horizontal="right"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164" fontId="5" fillId="0" borderId="10" xfId="1" applyFont="1" applyBorder="1" applyAlignment="1">
      <alignment vertical="center"/>
    </xf>
    <xf numFmtId="0" fontId="16" fillId="0" borderId="0" xfId="0" applyFont="1" applyAlignment="1">
      <alignment vertical="center"/>
    </xf>
    <xf numFmtId="10" fontId="5" fillId="0" borderId="0" xfId="0" applyNumberFormat="1" applyFont="1" applyAlignment="1">
      <alignment horizontal="right" vertical="center"/>
    </xf>
    <xf numFmtId="170" fontId="5" fillId="0" borderId="0" xfId="2" applyNumberFormat="1" applyFont="1" applyAlignment="1">
      <alignment horizontal="right" vertical="center"/>
    </xf>
    <xf numFmtId="10" fontId="6" fillId="2" borderId="11" xfId="2" applyNumberFormat="1" applyFont="1" applyFill="1" applyBorder="1" applyAlignment="1">
      <alignment vertical="center"/>
    </xf>
    <xf numFmtId="172" fontId="5" fillId="0" borderId="0" xfId="0" applyNumberFormat="1" applyFont="1" applyAlignment="1">
      <alignment horizontal="right" vertical="center"/>
    </xf>
    <xf numFmtId="10" fontId="6" fillId="0" borderId="0" xfId="2" applyNumberFormat="1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left"/>
    </xf>
    <xf numFmtId="166" fontId="5" fillId="0" borderId="0" xfId="1" applyNumberFormat="1" applyFont="1" applyFill="1" applyBorder="1" applyAlignment="1">
      <alignment horizontal="left" vertical="center"/>
    </xf>
    <xf numFmtId="166" fontId="5" fillId="0" borderId="6" xfId="1" applyNumberFormat="1" applyFont="1" applyFill="1" applyBorder="1" applyAlignment="1">
      <alignment horizontal="left" vertical="center"/>
    </xf>
    <xf numFmtId="167" fontId="5" fillId="0" borderId="0" xfId="1" applyNumberFormat="1" applyFont="1" applyFill="1" applyBorder="1" applyAlignment="1">
      <alignment vertical="center"/>
    </xf>
    <xf numFmtId="10" fontId="11" fillId="0" borderId="5" xfId="2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5" fillId="0" borderId="0" xfId="1" applyNumberFormat="1" applyFont="1" applyFill="1" applyBorder="1" applyAlignment="1">
      <alignment vertical="center"/>
    </xf>
    <xf numFmtId="166" fontId="17" fillId="0" borderId="0" xfId="1" applyNumberFormat="1" applyFont="1" applyFill="1" applyBorder="1" applyAlignment="1">
      <alignment vertical="center"/>
    </xf>
    <xf numFmtId="165" fontId="13" fillId="0" borderId="0" xfId="2" applyNumberFormat="1" applyFont="1" applyFill="1" applyBorder="1" applyAlignment="1">
      <alignment vertical="center"/>
    </xf>
    <xf numFmtId="164" fontId="8" fillId="0" borderId="10" xfId="1" applyFont="1" applyBorder="1" applyAlignment="1">
      <alignment vertical="center"/>
    </xf>
    <xf numFmtId="166" fontId="13" fillId="0" borderId="0" xfId="1" applyNumberFormat="1" applyFont="1" applyFill="1" applyAlignment="1">
      <alignment vertical="center"/>
    </xf>
    <xf numFmtId="166" fontId="13" fillId="0" borderId="0" xfId="1" applyNumberFormat="1" applyFont="1" applyFill="1" applyAlignment="1">
      <alignment horizontal="center" vertical="center"/>
    </xf>
    <xf numFmtId="166" fontId="16" fillId="0" borderId="0" xfId="1" applyNumberFormat="1" applyFont="1" applyFill="1" applyAlignment="1">
      <alignment vertical="center"/>
    </xf>
    <xf numFmtId="165" fontId="13" fillId="0" borderId="0" xfId="2" applyNumberFormat="1" applyFont="1" applyFill="1" applyAlignment="1">
      <alignment vertical="center"/>
    </xf>
    <xf numFmtId="9" fontId="13" fillId="0" borderId="0" xfId="2" applyFont="1" applyFill="1" applyAlignment="1">
      <alignment vertical="center"/>
    </xf>
    <xf numFmtId="166" fontId="15" fillId="2" borderId="12" xfId="1" applyNumberFormat="1" applyFont="1" applyFill="1" applyBorder="1" applyAlignment="1">
      <alignment horizontal="right" vertical="center" wrapText="1"/>
    </xf>
    <xf numFmtId="164" fontId="13" fillId="0" borderId="3" xfId="1" applyFont="1" applyFill="1" applyBorder="1" applyAlignment="1">
      <alignment vertical="center"/>
    </xf>
    <xf numFmtId="164" fontId="13" fillId="0" borderId="7" xfId="1" applyFont="1" applyFill="1" applyBorder="1" applyAlignment="1">
      <alignment vertical="center"/>
    </xf>
    <xf numFmtId="9" fontId="5" fillId="0" borderId="9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165" fontId="5" fillId="0" borderId="0" xfId="0" applyNumberFormat="1" applyFont="1"/>
    <xf numFmtId="166" fontId="5" fillId="0" borderId="5" xfId="1" applyNumberFormat="1" applyFont="1" applyBorder="1" applyAlignment="1">
      <alignment horizontal="right" vertical="center"/>
    </xf>
    <xf numFmtId="172" fontId="13" fillId="0" borderId="0" xfId="1" applyNumberFormat="1" applyFont="1" applyFill="1" applyAlignment="1">
      <alignment vertical="center"/>
    </xf>
    <xf numFmtId="10" fontId="5" fillId="0" borderId="0" xfId="2" applyNumberFormat="1" applyFont="1"/>
    <xf numFmtId="165" fontId="5" fillId="0" borderId="4" xfId="2" applyNumberFormat="1" applyFont="1" applyFill="1" applyBorder="1" applyAlignment="1">
      <alignment vertical="center"/>
    </xf>
    <xf numFmtId="165" fontId="6" fillId="2" borderId="10" xfId="2" applyNumberFormat="1" applyFont="1" applyFill="1" applyBorder="1" applyAlignment="1">
      <alignment horizontal="right" vertical="center" indent="1"/>
    </xf>
    <xf numFmtId="166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vertical="center"/>
    </xf>
    <xf numFmtId="9" fontId="0" fillId="0" borderId="0" xfId="2" applyFont="1"/>
    <xf numFmtId="165" fontId="0" fillId="0" borderId="0" xfId="2" applyNumberFormat="1" applyFont="1"/>
    <xf numFmtId="166" fontId="0" fillId="0" borderId="0" xfId="1" applyNumberFormat="1" applyFont="1"/>
    <xf numFmtId="0" fontId="19" fillId="0" borderId="0" xfId="3" applyFont="1" applyFill="1"/>
    <xf numFmtId="0" fontId="18" fillId="0" borderId="0" xfId="0" applyFont="1"/>
    <xf numFmtId="0" fontId="19" fillId="0" borderId="0" xfId="0" applyFont="1"/>
    <xf numFmtId="10" fontId="0" fillId="0" borderId="0" xfId="0" applyNumberFormat="1"/>
    <xf numFmtId="0" fontId="20" fillId="4" borderId="0" xfId="3" applyFont="1" applyFill="1"/>
    <xf numFmtId="9" fontId="0" fillId="0" borderId="0" xfId="0" applyNumberFormat="1"/>
    <xf numFmtId="0" fontId="21" fillId="0" borderId="0" xfId="3" applyFont="1" applyAlignment="1">
      <alignment horizontal="center" vertical="center"/>
    </xf>
    <xf numFmtId="0" fontId="21" fillId="0" borderId="0" xfId="3" applyFont="1"/>
    <xf numFmtId="164" fontId="6" fillId="0" borderId="0" xfId="1" applyFont="1" applyFill="1" applyBorder="1" applyAlignment="1">
      <alignment vertical="center"/>
    </xf>
    <xf numFmtId="164" fontId="7" fillId="3" borderId="9" xfId="1" applyFont="1" applyFill="1" applyBorder="1" applyAlignment="1">
      <alignment horizontal="left" vertical="center"/>
    </xf>
    <xf numFmtId="164" fontId="6" fillId="2" borderId="11" xfId="1" applyFont="1" applyFill="1" applyBorder="1" applyAlignment="1">
      <alignment vertical="center"/>
    </xf>
    <xf numFmtId="164" fontId="5" fillId="0" borderId="9" xfId="1" applyFont="1" applyBorder="1" applyAlignment="1">
      <alignment vertical="center"/>
    </xf>
    <xf numFmtId="167" fontId="5" fillId="0" borderId="0" xfId="1" applyNumberFormat="1" applyFont="1" applyBorder="1" applyAlignment="1">
      <alignment horizontal="left" vertical="center"/>
    </xf>
    <xf numFmtId="164" fontId="15" fillId="2" borderId="11" xfId="1" applyFont="1" applyFill="1" applyBorder="1" applyAlignment="1">
      <alignment vertical="center"/>
    </xf>
    <xf numFmtId="164" fontId="7" fillId="3" borderId="9" xfId="1" applyFont="1" applyFill="1" applyBorder="1" applyAlignment="1">
      <alignment vertical="center"/>
    </xf>
    <xf numFmtId="164" fontId="5" fillId="0" borderId="0" xfId="1" applyFont="1" applyFill="1" applyBorder="1" applyAlignment="1">
      <alignment vertical="center"/>
    </xf>
    <xf numFmtId="10" fontId="5" fillId="0" borderId="0" xfId="2" applyNumberFormat="1" applyFont="1" applyBorder="1" applyAlignment="1">
      <alignment vertical="center"/>
    </xf>
    <xf numFmtId="10" fontId="5" fillId="0" borderId="1" xfId="2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9" fontId="13" fillId="0" borderId="9" xfId="2" applyFont="1" applyFill="1" applyBorder="1" applyAlignment="1">
      <alignment vertical="center"/>
    </xf>
    <xf numFmtId="9" fontId="13" fillId="0" borderId="1" xfId="2" applyFont="1" applyFill="1" applyBorder="1" applyAlignment="1">
      <alignment vertical="center"/>
    </xf>
    <xf numFmtId="166" fontId="13" fillId="2" borderId="4" xfId="1" applyNumberFormat="1" applyFont="1" applyFill="1" applyBorder="1" applyAlignment="1">
      <alignment horizontal="right" vertical="center" wrapText="1"/>
    </xf>
    <xf numFmtId="165" fontId="13" fillId="0" borderId="9" xfId="2" applyNumberFormat="1" applyFont="1" applyBorder="1" applyAlignment="1">
      <alignment vertical="center"/>
    </xf>
    <xf numFmtId="165" fontId="13" fillId="0" borderId="0" xfId="2" applyNumberFormat="1" applyFont="1" applyBorder="1" applyAlignment="1">
      <alignment vertical="center"/>
    </xf>
    <xf numFmtId="9" fontId="15" fillId="2" borderId="11" xfId="2" applyFont="1" applyFill="1" applyBorder="1" applyAlignment="1">
      <alignment vertical="center"/>
    </xf>
    <xf numFmtId="166" fontId="8" fillId="0" borderId="11" xfId="1" applyNumberFormat="1" applyFont="1" applyBorder="1" applyAlignment="1">
      <alignment vertical="center"/>
    </xf>
    <xf numFmtId="166" fontId="5" fillId="0" borderId="11" xfId="1" applyNumberFormat="1" applyFont="1" applyBorder="1" applyAlignment="1">
      <alignment vertical="center"/>
    </xf>
    <xf numFmtId="165" fontId="5" fillId="2" borderId="11" xfId="0" applyNumberFormat="1" applyFont="1" applyFill="1" applyBorder="1" applyAlignment="1">
      <alignment horizontal="right" vertical="center"/>
    </xf>
    <xf numFmtId="166" fontId="5" fillId="5" borderId="0" xfId="1" applyNumberFormat="1" applyFont="1" applyFill="1" applyBorder="1" applyAlignment="1">
      <alignment vertical="center"/>
    </xf>
    <xf numFmtId="166" fontId="5" fillId="0" borderId="8" xfId="1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vertical="center"/>
    </xf>
    <xf numFmtId="167" fontId="8" fillId="0" borderId="0" xfId="1" applyNumberFormat="1" applyFont="1" applyFill="1" applyBorder="1" applyAlignment="1">
      <alignment vertical="center"/>
    </xf>
    <xf numFmtId="166" fontId="7" fillId="3" borderId="6" xfId="1" applyNumberFormat="1" applyFont="1" applyFill="1" applyBorder="1" applyAlignment="1">
      <alignment horizontal="center" vertical="center"/>
    </xf>
    <xf numFmtId="10" fontId="5" fillId="0" borderId="9" xfId="2" applyNumberFormat="1" applyFont="1" applyFill="1" applyBorder="1" applyAlignment="1">
      <alignment vertical="center"/>
    </xf>
    <xf numFmtId="10" fontId="6" fillId="2" borderId="12" xfId="2" applyNumberFormat="1" applyFont="1" applyFill="1" applyBorder="1" applyAlignment="1">
      <alignment vertical="center"/>
    </xf>
    <xf numFmtId="10" fontId="5" fillId="2" borderId="11" xfId="2" applyNumberFormat="1" applyFont="1" applyFill="1" applyBorder="1" applyAlignment="1">
      <alignment horizontal="right" vertical="center"/>
    </xf>
    <xf numFmtId="10" fontId="5" fillId="0" borderId="9" xfId="2" applyNumberFormat="1" applyFont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/>
    </xf>
    <xf numFmtId="165" fontId="13" fillId="0" borderId="9" xfId="2" applyNumberFormat="1" applyFont="1" applyFill="1" applyBorder="1" applyAlignment="1">
      <alignment horizontal="right" vertical="center"/>
    </xf>
    <xf numFmtId="166" fontId="5" fillId="0" borderId="4" xfId="1" applyNumberFormat="1" applyFont="1" applyBorder="1" applyAlignment="1">
      <alignment horizontal="left" vertical="center"/>
    </xf>
    <xf numFmtId="164" fontId="0" fillId="0" borderId="0" xfId="1" applyFont="1"/>
    <xf numFmtId="166" fontId="22" fillId="3" borderId="3" xfId="1" applyNumberFormat="1" applyFont="1" applyFill="1" applyBorder="1" applyAlignment="1">
      <alignment horizontal="center" vertical="center"/>
    </xf>
    <xf numFmtId="166" fontId="22" fillId="3" borderId="9" xfId="1" applyNumberFormat="1" applyFont="1" applyFill="1" applyBorder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6" fontId="23" fillId="0" borderId="0" xfId="1" applyNumberFormat="1" applyFont="1" applyAlignment="1">
      <alignment vertical="center"/>
    </xf>
    <xf numFmtId="9" fontId="15" fillId="2" borderId="10" xfId="2" applyFont="1" applyFill="1" applyBorder="1" applyAlignment="1">
      <alignment horizontal="right" vertical="center" wrapText="1"/>
    </xf>
    <xf numFmtId="166" fontId="5" fillId="0" borderId="6" xfId="1" applyNumberFormat="1" applyFont="1" applyFill="1" applyBorder="1" applyAlignment="1">
      <alignment vertical="center"/>
    </xf>
    <xf numFmtId="10" fontId="6" fillId="0" borderId="0" xfId="2" applyNumberFormat="1" applyFont="1"/>
    <xf numFmtId="10" fontId="5" fillId="0" borderId="5" xfId="2" applyNumberFormat="1" applyFont="1" applyFill="1" applyBorder="1" applyAlignment="1">
      <alignment horizontal="right" vertical="center"/>
    </xf>
    <xf numFmtId="10" fontId="6" fillId="2" borderId="11" xfId="0" applyNumberFormat="1" applyFont="1" applyFill="1" applyBorder="1" applyAlignment="1">
      <alignment horizontal="right" vertical="center"/>
    </xf>
    <xf numFmtId="10" fontId="6" fillId="2" borderId="12" xfId="0" applyNumberFormat="1" applyFont="1" applyFill="1" applyBorder="1" applyAlignment="1">
      <alignment horizontal="right" vertical="center"/>
    </xf>
    <xf numFmtId="10" fontId="6" fillId="2" borderId="10" xfId="0" applyNumberFormat="1" applyFont="1" applyFill="1" applyBorder="1" applyAlignment="1">
      <alignment horizontal="right" vertical="center"/>
    </xf>
    <xf numFmtId="10" fontId="5" fillId="0" borderId="5" xfId="2" applyNumberFormat="1" applyFont="1" applyBorder="1" applyAlignment="1">
      <alignment horizontal="right" vertical="center"/>
    </xf>
    <xf numFmtId="10" fontId="6" fillId="0" borderId="0" xfId="2" applyNumberFormat="1" applyFont="1" applyBorder="1" applyAlignment="1">
      <alignment horizontal="right" vertical="center"/>
    </xf>
    <xf numFmtId="10" fontId="6" fillId="0" borderId="6" xfId="2" applyNumberFormat="1" applyFont="1" applyBorder="1" applyAlignment="1">
      <alignment horizontal="right" vertical="center"/>
    </xf>
    <xf numFmtId="10" fontId="6" fillId="0" borderId="5" xfId="2" applyNumberFormat="1" applyFont="1" applyBorder="1" applyAlignment="1">
      <alignment horizontal="right" vertical="center"/>
    </xf>
    <xf numFmtId="10" fontId="6" fillId="2" borderId="10" xfId="2" applyNumberFormat="1" applyFont="1" applyFill="1" applyBorder="1" applyAlignment="1">
      <alignment horizontal="right" vertical="center"/>
    </xf>
    <xf numFmtId="10" fontId="6" fillId="2" borderId="10" xfId="1" applyNumberFormat="1" applyFont="1" applyFill="1" applyBorder="1" applyAlignment="1">
      <alignment vertical="center"/>
    </xf>
    <xf numFmtId="10" fontId="6" fillId="2" borderId="10" xfId="2" applyNumberFormat="1" applyFont="1" applyFill="1" applyBorder="1" applyAlignment="1">
      <alignment vertical="center"/>
    </xf>
    <xf numFmtId="10" fontId="6" fillId="2" borderId="11" xfId="1" applyNumberFormat="1" applyFont="1" applyFill="1" applyBorder="1" applyAlignment="1">
      <alignment vertical="center"/>
    </xf>
    <xf numFmtId="10" fontId="5" fillId="2" borderId="10" xfId="2" applyNumberFormat="1" applyFont="1" applyFill="1" applyBorder="1" applyAlignment="1">
      <alignment horizontal="right" vertical="center"/>
    </xf>
    <xf numFmtId="10" fontId="5" fillId="0" borderId="3" xfId="2" applyNumberFormat="1" applyFont="1" applyBorder="1" applyAlignment="1">
      <alignment horizontal="righ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6" fillId="0" borderId="9" xfId="1" applyNumberFormat="1" applyFont="1" applyFill="1" applyBorder="1" applyAlignment="1">
      <alignment horizontal="left" vertical="center"/>
    </xf>
    <xf numFmtId="167" fontId="6" fillId="0" borderId="9" xfId="1" applyNumberFormat="1" applyFont="1" applyFill="1" applyBorder="1" applyAlignment="1">
      <alignment vertical="center"/>
    </xf>
    <xf numFmtId="167" fontId="6" fillId="0" borderId="4" xfId="1" applyNumberFormat="1" applyFont="1" applyFill="1" applyBorder="1" applyAlignment="1">
      <alignment vertical="center"/>
    </xf>
    <xf numFmtId="167" fontId="6" fillId="0" borderId="0" xfId="1" applyNumberFormat="1" applyFont="1" applyFill="1" applyAlignment="1">
      <alignment vertical="center"/>
    </xf>
    <xf numFmtId="167" fontId="6" fillId="0" borderId="3" xfId="1" applyNumberFormat="1" applyFont="1" applyFill="1" applyBorder="1" applyAlignment="1">
      <alignment vertical="center"/>
    </xf>
    <xf numFmtId="164" fontId="8" fillId="0" borderId="5" xfId="1" applyFont="1" applyFill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4" fontId="8" fillId="0" borderId="5" xfId="1" applyFont="1" applyFill="1" applyBorder="1" applyAlignment="1">
      <alignment vertical="center"/>
    </xf>
    <xf numFmtId="164" fontId="8" fillId="0" borderId="0" xfId="1" applyFont="1" applyFill="1" applyBorder="1" applyAlignment="1">
      <alignment vertical="center"/>
    </xf>
    <xf numFmtId="165" fontId="8" fillId="0" borderId="5" xfId="2" applyNumberFormat="1" applyFont="1" applyFill="1" applyBorder="1" applyAlignment="1">
      <alignment vertical="center"/>
    </xf>
    <xf numFmtId="164" fontId="5" fillId="0" borderId="3" xfId="1" applyFont="1" applyFill="1" applyBorder="1" applyAlignment="1">
      <alignment horizontal="left" vertical="center"/>
    </xf>
    <xf numFmtId="165" fontId="5" fillId="0" borderId="0" xfId="2" applyNumberFormat="1" applyFont="1" applyFill="1" applyAlignment="1">
      <alignment vertical="center"/>
    </xf>
    <xf numFmtId="164" fontId="5" fillId="0" borderId="5" xfId="1" applyFont="1" applyFill="1" applyBorder="1" applyAlignment="1">
      <alignment horizontal="left" vertical="center"/>
    </xf>
    <xf numFmtId="167" fontId="8" fillId="0" borderId="0" xfId="1" applyNumberFormat="1" applyFont="1" applyFill="1" applyBorder="1" applyAlignment="1">
      <alignment horizontal="left" vertical="center"/>
    </xf>
    <xf numFmtId="167" fontId="8" fillId="0" borderId="6" xfId="1" applyNumberFormat="1" applyFont="1" applyFill="1" applyBorder="1" applyAlignment="1">
      <alignment vertical="center"/>
    </xf>
    <xf numFmtId="167" fontId="8" fillId="0" borderId="0" xfId="1" applyNumberFormat="1" applyFont="1" applyFill="1" applyAlignment="1">
      <alignment vertical="center"/>
    </xf>
    <xf numFmtId="167" fontId="8" fillId="0" borderId="5" xfId="1" applyNumberFormat="1" applyFont="1" applyFill="1" applyBorder="1" applyAlignment="1">
      <alignment vertical="center"/>
    </xf>
    <xf numFmtId="164" fontId="6" fillId="0" borderId="5" xfId="1" applyFont="1" applyBorder="1" applyAlignment="1">
      <alignment horizontal="left" vertical="center"/>
    </xf>
    <xf numFmtId="166" fontId="6" fillId="0" borderId="0" xfId="1" applyNumberFormat="1" applyFont="1" applyBorder="1" applyAlignment="1">
      <alignment horizontal="left" vertical="center"/>
    </xf>
    <xf numFmtId="166" fontId="6" fillId="0" borderId="6" xfId="1" applyNumberFormat="1" applyFont="1" applyBorder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/>
    </xf>
    <xf numFmtId="165" fontId="5" fillId="0" borderId="0" xfId="1" applyNumberFormat="1" applyFont="1" applyAlignment="1">
      <alignment vertical="center"/>
    </xf>
    <xf numFmtId="165" fontId="5" fillId="0" borderId="6" xfId="2" applyNumberFormat="1" applyFont="1" applyFill="1" applyBorder="1" applyAlignment="1">
      <alignment horizontal="right" vertical="center"/>
    </xf>
    <xf numFmtId="165" fontId="6" fillId="2" borderId="12" xfId="2" applyNumberFormat="1" applyFont="1" applyFill="1" applyBorder="1" applyAlignment="1">
      <alignment horizontal="right" vertical="center"/>
    </xf>
    <xf numFmtId="165" fontId="10" fillId="0" borderId="6" xfId="2" applyNumberFormat="1" applyFont="1" applyBorder="1" applyAlignment="1">
      <alignment horizontal="right" vertical="center"/>
    </xf>
    <xf numFmtId="165" fontId="5" fillId="0" borderId="8" xfId="2" applyNumberFormat="1" applyFont="1" applyBorder="1" applyAlignment="1">
      <alignment horizontal="right" vertical="center"/>
    </xf>
    <xf numFmtId="2" fontId="5" fillId="0" borderId="0" xfId="2" applyNumberFormat="1" applyFont="1" applyAlignment="1">
      <alignment vertical="center"/>
    </xf>
    <xf numFmtId="10" fontId="5" fillId="0" borderId="8" xfId="2" applyNumberFormat="1" applyFont="1" applyBorder="1" applyAlignment="1">
      <alignment vertical="center"/>
    </xf>
    <xf numFmtId="10" fontId="5" fillId="2" borderId="12" xfId="2" applyNumberFormat="1" applyFont="1" applyFill="1" applyBorder="1" applyAlignment="1">
      <alignment horizontal="right" vertical="center"/>
    </xf>
    <xf numFmtId="166" fontId="5" fillId="0" borderId="5" xfId="1" applyNumberFormat="1" applyFont="1" applyFill="1" applyBorder="1" applyAlignment="1">
      <alignment horizontal="left"/>
    </xf>
    <xf numFmtId="166" fontId="5" fillId="0" borderId="7" xfId="1" applyNumberFormat="1" applyFont="1" applyFill="1" applyBorder="1" applyAlignment="1">
      <alignment horizontal="left"/>
    </xf>
    <xf numFmtId="10" fontId="9" fillId="0" borderId="0" xfId="6" applyNumberFormat="1" applyFont="1" applyFill="1" applyBorder="1"/>
    <xf numFmtId="167" fontId="5" fillId="0" borderId="6" xfId="1" applyNumberFormat="1" applyFont="1" applyFill="1" applyBorder="1" applyAlignment="1">
      <alignment vertical="center"/>
    </xf>
    <xf numFmtId="166" fontId="5" fillId="0" borderId="0" xfId="2" applyNumberFormat="1" applyFont="1" applyAlignment="1">
      <alignment vertical="center"/>
    </xf>
    <xf numFmtId="9" fontId="7" fillId="3" borderId="3" xfId="2" applyFont="1" applyFill="1" applyBorder="1" applyAlignment="1">
      <alignment horizontal="center" vertical="center"/>
    </xf>
    <xf numFmtId="9" fontId="7" fillId="3" borderId="4" xfId="2" applyFont="1" applyFill="1" applyBorder="1" applyAlignment="1">
      <alignment horizontal="center" vertical="center"/>
    </xf>
    <xf numFmtId="9" fontId="6" fillId="0" borderId="5" xfId="2" applyFont="1" applyBorder="1" applyAlignment="1">
      <alignment horizontal="right" vertical="center"/>
    </xf>
    <xf numFmtId="9" fontId="6" fillId="0" borderId="6" xfId="2" applyFont="1" applyBorder="1" applyAlignment="1">
      <alignment horizontal="right" vertical="center"/>
    </xf>
    <xf numFmtId="9" fontId="5" fillId="0" borderId="5" xfId="2" applyFont="1" applyBorder="1" applyAlignment="1">
      <alignment horizontal="right" vertical="center"/>
    </xf>
    <xf numFmtId="9" fontId="5" fillId="0" borderId="6" xfId="2" applyFont="1" applyBorder="1" applyAlignment="1">
      <alignment horizontal="right" vertical="center"/>
    </xf>
    <xf numFmtId="9" fontId="6" fillId="2" borderId="10" xfId="2" applyFont="1" applyFill="1" applyBorder="1" applyAlignment="1">
      <alignment horizontal="right" vertical="center"/>
    </xf>
    <xf numFmtId="9" fontId="6" fillId="2" borderId="12" xfId="2" applyFont="1" applyFill="1" applyBorder="1" applyAlignment="1">
      <alignment horizontal="right" vertical="center"/>
    </xf>
    <xf numFmtId="9" fontId="8" fillId="0" borderId="5" xfId="2" applyFont="1" applyBorder="1" applyAlignment="1">
      <alignment horizontal="right" vertical="center"/>
    </xf>
    <xf numFmtId="9" fontId="8" fillId="0" borderId="6" xfId="2" applyFont="1" applyBorder="1" applyAlignment="1">
      <alignment horizontal="right" vertical="center"/>
    </xf>
    <xf numFmtId="9" fontId="8" fillId="0" borderId="5" xfId="2" applyFont="1" applyFill="1" applyBorder="1" applyAlignment="1">
      <alignment horizontal="right" vertical="center"/>
    </xf>
    <xf numFmtId="9" fontId="8" fillId="0" borderId="6" xfId="2" applyFont="1" applyFill="1" applyBorder="1" applyAlignment="1">
      <alignment horizontal="right" vertical="center"/>
    </xf>
    <xf numFmtId="9" fontId="5" fillId="0" borderId="7" xfId="2" applyFont="1" applyBorder="1" applyAlignment="1">
      <alignment horizontal="right" vertical="center"/>
    </xf>
    <xf numFmtId="9" fontId="5" fillId="0" borderId="8" xfId="2" applyFont="1" applyBorder="1" applyAlignment="1">
      <alignment horizontal="right" vertical="center"/>
    </xf>
    <xf numFmtId="2" fontId="5" fillId="0" borderId="0" xfId="1" applyNumberFormat="1" applyFont="1" applyAlignment="1">
      <alignment vertical="center"/>
    </xf>
    <xf numFmtId="2" fontId="5" fillId="0" borderId="0" xfId="1" applyNumberFormat="1" applyFont="1" applyBorder="1" applyAlignment="1">
      <alignment vertical="center"/>
    </xf>
    <xf numFmtId="2" fontId="5" fillId="0" borderId="0" xfId="1" applyNumberFormat="1" applyFont="1" applyFill="1" applyAlignment="1">
      <alignment vertical="center"/>
    </xf>
    <xf numFmtId="2" fontId="5" fillId="0" borderId="0" xfId="2" applyNumberFormat="1" applyFont="1" applyFill="1" applyAlignment="1">
      <alignment vertical="center"/>
    </xf>
    <xf numFmtId="166" fontId="13" fillId="0" borderId="1" xfId="1" applyNumberFormat="1" applyFont="1" applyBorder="1" applyAlignment="1">
      <alignment vertical="center"/>
    </xf>
    <xf numFmtId="166" fontId="13" fillId="0" borderId="1" xfId="1" applyNumberFormat="1" applyFont="1" applyFill="1" applyBorder="1" applyAlignment="1">
      <alignment horizontal="right" vertical="center" wrapText="1"/>
    </xf>
    <xf numFmtId="166" fontId="13" fillId="0" borderId="1" xfId="1" applyNumberFormat="1" applyFont="1" applyBorder="1" applyAlignment="1">
      <alignment horizontal="right" vertical="center" wrapText="1"/>
    </xf>
    <xf numFmtId="166" fontId="13" fillId="0" borderId="8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5" fontId="9" fillId="0" borderId="0" xfId="2" applyNumberFormat="1" applyFont="1" applyFill="1" applyBorder="1"/>
    <xf numFmtId="164" fontId="13" fillId="0" borderId="3" xfId="1" applyFont="1" applyFill="1" applyBorder="1" applyAlignment="1">
      <alignment horizontal="right" vertical="center"/>
    </xf>
    <xf numFmtId="165" fontId="13" fillId="0" borderId="1" xfId="2" applyNumberFormat="1" applyFont="1" applyFill="1" applyBorder="1" applyAlignment="1">
      <alignment horizontal="right" vertical="center"/>
    </xf>
    <xf numFmtId="165" fontId="13" fillId="0" borderId="8" xfId="2" applyNumberFormat="1" applyFont="1" applyFill="1" applyBorder="1" applyAlignment="1">
      <alignment horizontal="right" vertical="center"/>
    </xf>
    <xf numFmtId="164" fontId="13" fillId="0" borderId="7" xfId="1" applyFont="1" applyFill="1" applyBorder="1" applyAlignment="1">
      <alignment horizontal="right" vertical="center"/>
    </xf>
    <xf numFmtId="10" fontId="5" fillId="0" borderId="4" xfId="2" applyNumberFormat="1" applyFont="1" applyFill="1" applyBorder="1" applyAlignment="1">
      <alignment vertical="center"/>
    </xf>
    <xf numFmtId="10" fontId="6" fillId="0" borderId="0" xfId="2" applyNumberFormat="1" applyFont="1" applyAlignment="1">
      <alignment vertical="center"/>
    </xf>
    <xf numFmtId="164" fontId="13" fillId="0" borderId="1" xfId="1" applyFont="1" applyFill="1" applyBorder="1" applyAlignment="1">
      <alignment horizontal="right" vertical="center"/>
    </xf>
    <xf numFmtId="10" fontId="13" fillId="0" borderId="0" xfId="2" applyNumberFormat="1" applyFont="1" applyAlignment="1">
      <alignment vertical="center"/>
    </xf>
    <xf numFmtId="166" fontId="5" fillId="0" borderId="5" xfId="1" applyNumberFormat="1" applyFont="1" applyFill="1" applyBorder="1" applyAlignment="1">
      <alignment horizontal="left" vertical="center"/>
    </xf>
    <xf numFmtId="166" fontId="5" fillId="0" borderId="3" xfId="1" applyNumberFormat="1" applyFont="1" applyBorder="1" applyAlignment="1">
      <alignment horizontal="left" vertical="center"/>
    </xf>
    <xf numFmtId="166" fontId="5" fillId="0" borderId="7" xfId="1" applyNumberFormat="1" applyFont="1" applyBorder="1" applyAlignment="1">
      <alignment horizontal="left" vertical="center"/>
    </xf>
    <xf numFmtId="165" fontId="5" fillId="0" borderId="3" xfId="2" applyNumberFormat="1" applyFont="1" applyFill="1" applyBorder="1" applyAlignment="1">
      <alignment vertical="center"/>
    </xf>
    <xf numFmtId="167" fontId="5" fillId="0" borderId="5" xfId="1" applyNumberFormat="1" applyFont="1" applyFill="1" applyBorder="1" applyAlignment="1">
      <alignment vertical="center"/>
    </xf>
    <xf numFmtId="165" fontId="5" fillId="0" borderId="7" xfId="2" applyNumberFormat="1" applyFont="1" applyBorder="1" applyAlignment="1">
      <alignment vertical="center"/>
    </xf>
    <xf numFmtId="165" fontId="13" fillId="0" borderId="7" xfId="2" applyNumberFormat="1" applyFont="1" applyFill="1" applyBorder="1" applyAlignment="1">
      <alignment horizontal="right" vertical="center"/>
    </xf>
    <xf numFmtId="167" fontId="5" fillId="0" borderId="3" xfId="1" applyNumberFormat="1" applyFont="1" applyBorder="1" applyAlignment="1">
      <alignment vertical="center"/>
    </xf>
    <xf numFmtId="167" fontId="5" fillId="0" borderId="9" xfId="1" applyNumberFormat="1" applyFont="1" applyBorder="1" applyAlignment="1">
      <alignment vertical="center"/>
    </xf>
    <xf numFmtId="167" fontId="5" fillId="0" borderId="4" xfId="1" applyNumberFormat="1" applyFont="1" applyBorder="1" applyAlignment="1">
      <alignment vertical="center"/>
    </xf>
    <xf numFmtId="9" fontId="6" fillId="2" borderId="3" xfId="2" applyFont="1" applyFill="1" applyBorder="1" applyAlignment="1">
      <alignment vertical="center"/>
    </xf>
    <xf numFmtId="9" fontId="6" fillId="2" borderId="9" xfId="2" applyFont="1" applyFill="1" applyBorder="1" applyAlignment="1">
      <alignment vertical="center"/>
    </xf>
    <xf numFmtId="9" fontId="6" fillId="2" borderId="4" xfId="2" applyFont="1" applyFill="1" applyBorder="1" applyAlignment="1">
      <alignment vertical="center"/>
    </xf>
    <xf numFmtId="165" fontId="5" fillId="0" borderId="0" xfId="1" applyNumberFormat="1" applyFont="1" applyBorder="1" applyAlignment="1">
      <alignment vertical="center"/>
    </xf>
    <xf numFmtId="165" fontId="13" fillId="0" borderId="5" xfId="2" applyNumberFormat="1" applyFont="1" applyBorder="1" applyAlignment="1">
      <alignment vertical="center"/>
    </xf>
    <xf numFmtId="165" fontId="13" fillId="0" borderId="6" xfId="2" applyNumberFormat="1" applyFont="1" applyBorder="1" applyAlignment="1">
      <alignment vertical="center"/>
    </xf>
    <xf numFmtId="166" fontId="5" fillId="0" borderId="3" xfId="4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vertical="center"/>
    </xf>
    <xf numFmtId="10" fontId="5" fillId="0" borderId="5" xfId="2" applyNumberFormat="1" applyFont="1" applyBorder="1" applyAlignment="1">
      <alignment vertical="center"/>
    </xf>
    <xf numFmtId="10" fontId="5" fillId="0" borderId="6" xfId="2" applyNumberFormat="1" applyFont="1" applyBorder="1" applyAlignment="1">
      <alignment vertical="center"/>
    </xf>
    <xf numFmtId="10" fontId="5" fillId="0" borderId="5" xfId="2" applyNumberFormat="1" applyFont="1" applyFill="1" applyBorder="1" applyAlignment="1">
      <alignment vertical="center"/>
    </xf>
    <xf numFmtId="10" fontId="5" fillId="0" borderId="6" xfId="2" applyNumberFormat="1" applyFont="1" applyFill="1" applyBorder="1" applyAlignment="1">
      <alignment vertical="center"/>
    </xf>
    <xf numFmtId="171" fontId="6" fillId="2" borderId="11" xfId="2" applyNumberFormat="1" applyFont="1" applyFill="1" applyBorder="1" applyAlignment="1">
      <alignment vertical="center"/>
    </xf>
    <xf numFmtId="171" fontId="6" fillId="2" borderId="12" xfId="2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7" fontId="11" fillId="0" borderId="5" xfId="1" applyNumberFormat="1" applyFont="1" applyBorder="1" applyAlignment="1">
      <alignment horizontal="right" vertical="center"/>
    </xf>
    <xf numFmtId="10" fontId="5" fillId="0" borderId="4" xfId="2" applyNumberFormat="1" applyFont="1" applyBorder="1" applyAlignment="1">
      <alignment horizontal="right" vertical="center"/>
    </xf>
    <xf numFmtId="165" fontId="5" fillId="0" borderId="11" xfId="2" applyNumberFormat="1" applyFont="1" applyBorder="1" applyAlignment="1">
      <alignment horizontal="right" vertical="center"/>
    </xf>
    <xf numFmtId="165" fontId="5" fillId="0" borderId="3" xfId="2" applyNumberFormat="1" applyFont="1" applyBorder="1" applyAlignment="1">
      <alignment horizontal="right" vertical="center"/>
    </xf>
    <xf numFmtId="165" fontId="5" fillId="0" borderId="5" xfId="2" applyNumberFormat="1" applyFont="1" applyFill="1" applyBorder="1" applyAlignment="1">
      <alignment horizontal="right" vertical="center"/>
    </xf>
    <xf numFmtId="166" fontId="13" fillId="0" borderId="5" xfId="1" applyNumberFormat="1" applyFont="1" applyBorder="1" applyAlignment="1">
      <alignment horizontal="right" vertical="center" wrapText="1"/>
    </xf>
    <xf numFmtId="166" fontId="13" fillId="0" borderId="7" xfId="1" applyNumberFormat="1" applyFont="1" applyBorder="1" applyAlignment="1">
      <alignment horizontal="right" vertical="center" wrapText="1"/>
    </xf>
    <xf numFmtId="166" fontId="15" fillId="2" borderId="10" xfId="1" applyNumberFormat="1" applyFont="1" applyFill="1" applyBorder="1" applyAlignment="1">
      <alignment horizontal="right" vertical="center" wrapText="1"/>
    </xf>
    <xf numFmtId="166" fontId="14" fillId="3" borderId="4" xfId="1" applyNumberFormat="1" applyFont="1" applyFill="1" applyBorder="1" applyAlignment="1">
      <alignment horizontal="center" vertical="center"/>
    </xf>
    <xf numFmtId="166" fontId="13" fillId="0" borderId="5" xfId="1" applyNumberFormat="1" applyFont="1" applyFill="1" applyBorder="1" applyAlignment="1">
      <alignment horizontal="right" vertical="center" wrapText="1"/>
    </xf>
    <xf numFmtId="166" fontId="13" fillId="0" borderId="7" xfId="1" applyNumberFormat="1" applyFont="1" applyFill="1" applyBorder="1" applyAlignment="1">
      <alignment horizontal="right" vertical="center" wrapText="1"/>
    </xf>
    <xf numFmtId="165" fontId="13" fillId="0" borderId="3" xfId="2" applyNumberFormat="1" applyFont="1" applyFill="1" applyBorder="1" applyAlignment="1">
      <alignment horizontal="right" vertical="center" wrapText="1"/>
    </xf>
    <xf numFmtId="165" fontId="13" fillId="0" borderId="5" xfId="2" applyNumberFormat="1" applyFont="1" applyFill="1" applyBorder="1" applyAlignment="1">
      <alignment horizontal="right" vertical="center" wrapText="1"/>
    </xf>
    <xf numFmtId="166" fontId="13" fillId="2" borderId="10" xfId="1" applyNumberFormat="1" applyFont="1" applyFill="1" applyBorder="1" applyAlignment="1">
      <alignment horizontal="right" vertical="center" wrapText="1"/>
    </xf>
    <xf numFmtId="9" fontId="5" fillId="0" borderId="3" xfId="2" applyFont="1" applyFill="1" applyBorder="1" applyAlignment="1">
      <alignment horizontal="right" vertical="center" wrapText="1"/>
    </xf>
    <xf numFmtId="9" fontId="5" fillId="0" borderId="7" xfId="2" applyFont="1" applyFill="1" applyBorder="1" applyAlignment="1">
      <alignment horizontal="right" vertical="center" wrapText="1"/>
    </xf>
    <xf numFmtId="9" fontId="13" fillId="0" borderId="3" xfId="2" applyFont="1" applyFill="1" applyBorder="1" applyAlignment="1">
      <alignment horizontal="right" vertical="center" wrapText="1"/>
    </xf>
    <xf numFmtId="9" fontId="13" fillId="0" borderId="7" xfId="2" applyFont="1" applyFill="1" applyBorder="1" applyAlignment="1">
      <alignment horizontal="right" vertical="center" wrapText="1"/>
    </xf>
    <xf numFmtId="164" fontId="5" fillId="0" borderId="0" xfId="11" applyFont="1" applyAlignment="1">
      <alignment vertical="center"/>
    </xf>
    <xf numFmtId="10" fontId="5" fillId="0" borderId="0" xfId="11" applyNumberFormat="1" applyFont="1" applyAlignment="1">
      <alignment vertical="center"/>
    </xf>
    <xf numFmtId="164" fontId="7" fillId="3" borderId="3" xfId="11" applyFont="1" applyFill="1" applyBorder="1" applyAlignment="1">
      <alignment horizontal="left" vertical="center"/>
    </xf>
    <xf numFmtId="164" fontId="6" fillId="2" borderId="10" xfId="11" applyFont="1" applyFill="1" applyBorder="1" applyAlignment="1">
      <alignment vertical="center"/>
    </xf>
    <xf numFmtId="164" fontId="6" fillId="2" borderId="11" xfId="11" applyFont="1" applyFill="1" applyBorder="1" applyAlignment="1">
      <alignment vertical="center"/>
    </xf>
    <xf numFmtId="164" fontId="5" fillId="0" borderId="5" xfId="11" applyFont="1" applyBorder="1" applyAlignment="1">
      <alignment vertical="center"/>
    </xf>
    <xf numFmtId="164" fontId="5" fillId="0" borderId="10" xfId="11" applyFont="1" applyBorder="1" applyAlignment="1">
      <alignment vertical="center"/>
    </xf>
    <xf numFmtId="164" fontId="5" fillId="0" borderId="11" xfId="11" applyFont="1" applyBorder="1" applyAlignment="1">
      <alignment vertical="center"/>
    </xf>
    <xf numFmtId="173" fontId="6" fillId="2" borderId="10" xfId="11" applyNumberFormat="1" applyFont="1" applyFill="1" applyBorder="1" applyAlignment="1">
      <alignment vertical="center"/>
    </xf>
    <xf numFmtId="164" fontId="6" fillId="0" borderId="5" xfId="11" applyFont="1" applyBorder="1" applyAlignment="1">
      <alignment vertical="center"/>
    </xf>
    <xf numFmtId="164" fontId="5" fillId="0" borderId="0" xfId="11" applyFont="1" applyBorder="1" applyAlignment="1">
      <alignment vertical="center"/>
    </xf>
    <xf numFmtId="164" fontId="5" fillId="0" borderId="0" xfId="11" applyFont="1" applyBorder="1" applyAlignment="1">
      <alignment horizontal="right" vertical="center"/>
    </xf>
    <xf numFmtId="164" fontId="5" fillId="0" borderId="5" xfId="11" applyFont="1" applyBorder="1" applyAlignment="1">
      <alignment horizontal="right" vertical="center"/>
    </xf>
    <xf numFmtId="164" fontId="5" fillId="0" borderId="6" xfId="11" applyFont="1" applyBorder="1" applyAlignment="1">
      <alignment horizontal="right" vertical="center"/>
    </xf>
    <xf numFmtId="164" fontId="5" fillId="0" borderId="0" xfId="11" applyFont="1" applyAlignment="1">
      <alignment horizontal="right" vertical="center"/>
    </xf>
    <xf numFmtId="164" fontId="6" fillId="0" borderId="0" xfId="11" applyFont="1" applyAlignment="1">
      <alignment vertical="center"/>
    </xf>
    <xf numFmtId="164" fontId="5" fillId="0" borderId="3" xfId="11" applyFont="1" applyBorder="1" applyAlignment="1">
      <alignment vertical="center"/>
    </xf>
    <xf numFmtId="164" fontId="8" fillId="0" borderId="5" xfId="11" applyFont="1" applyBorder="1" applyAlignment="1">
      <alignment vertical="center"/>
    </xf>
    <xf numFmtId="164" fontId="5" fillId="0" borderId="7" xfId="11" applyFont="1" applyBorder="1" applyAlignment="1">
      <alignment vertical="center"/>
    </xf>
    <xf numFmtId="164" fontId="5" fillId="0" borderId="1" xfId="11" applyFont="1" applyBorder="1" applyAlignment="1">
      <alignment vertical="center"/>
    </xf>
    <xf numFmtId="166" fontId="5" fillId="0" borderId="1" xfId="11" applyNumberFormat="1" applyFont="1" applyBorder="1" applyAlignment="1">
      <alignment horizontal="right" vertical="center"/>
    </xf>
    <xf numFmtId="166" fontId="5" fillId="0" borderId="7" xfId="11" applyNumberFormat="1" applyFont="1" applyBorder="1" applyAlignment="1">
      <alignment horizontal="right" vertical="center"/>
    </xf>
    <xf numFmtId="166" fontId="5" fillId="0" borderId="8" xfId="11" applyNumberFormat="1" applyFont="1" applyBorder="1" applyAlignment="1">
      <alignment horizontal="right" vertical="center"/>
    </xf>
    <xf numFmtId="166" fontId="5" fillId="0" borderId="0" xfId="11" applyNumberFormat="1" applyFont="1" applyAlignment="1">
      <alignment horizontal="right" vertical="center"/>
    </xf>
    <xf numFmtId="166" fontId="5" fillId="0" borderId="1" xfId="11" applyNumberFormat="1" applyFont="1" applyFill="1" applyBorder="1" applyAlignment="1">
      <alignment horizontal="right" vertical="center"/>
    </xf>
    <xf numFmtId="166" fontId="5" fillId="0" borderId="0" xfId="11" applyNumberFormat="1" applyFont="1" applyAlignment="1">
      <alignment vertical="center"/>
    </xf>
    <xf numFmtId="166" fontId="5" fillId="0" borderId="9" xfId="11" applyNumberFormat="1" applyFont="1" applyBorder="1" applyAlignment="1">
      <alignment vertical="center"/>
    </xf>
    <xf numFmtId="166" fontId="5" fillId="0" borderId="9" xfId="8" applyNumberFormat="1" applyFont="1" applyBorder="1" applyAlignment="1">
      <alignment horizontal="right" vertical="center"/>
    </xf>
    <xf numFmtId="166" fontId="5" fillId="0" borderId="3" xfId="8" applyNumberFormat="1" applyFont="1" applyBorder="1" applyAlignment="1">
      <alignment horizontal="right" vertical="center"/>
    </xf>
    <xf numFmtId="166" fontId="5" fillId="0" borderId="4" xfId="8" applyNumberFormat="1" applyFont="1" applyBorder="1" applyAlignment="1">
      <alignment horizontal="right" vertical="center"/>
    </xf>
    <xf numFmtId="166" fontId="5" fillId="0" borderId="0" xfId="11" applyNumberFormat="1" applyFont="1" applyBorder="1" applyAlignment="1">
      <alignment vertical="center"/>
    </xf>
    <xf numFmtId="166" fontId="5" fillId="0" borderId="0" xfId="8" applyNumberFormat="1" applyFont="1" applyBorder="1" applyAlignment="1">
      <alignment horizontal="right" vertical="center"/>
    </xf>
    <xf numFmtId="166" fontId="5" fillId="0" borderId="5" xfId="8" applyNumberFormat="1" applyFont="1" applyBorder="1" applyAlignment="1">
      <alignment horizontal="right" vertical="center"/>
    </xf>
    <xf numFmtId="166" fontId="5" fillId="0" borderId="6" xfId="8" applyNumberFormat="1" applyFont="1" applyBorder="1" applyAlignment="1">
      <alignment horizontal="right" vertical="center"/>
    </xf>
    <xf numFmtId="166" fontId="5" fillId="0" borderId="0" xfId="8" applyNumberFormat="1" applyFont="1" applyAlignment="1">
      <alignment horizontal="right" vertical="center"/>
    </xf>
    <xf numFmtId="166" fontId="5" fillId="0" borderId="1" xfId="11" applyNumberFormat="1" applyFont="1" applyBorder="1" applyAlignment="1">
      <alignment vertical="center"/>
    </xf>
    <xf numFmtId="166" fontId="5" fillId="0" borderId="1" xfId="8" applyNumberFormat="1" applyFont="1" applyBorder="1" applyAlignment="1">
      <alignment horizontal="right" vertical="center"/>
    </xf>
    <xf numFmtId="166" fontId="5" fillId="0" borderId="7" xfId="8" applyNumberFormat="1" applyFont="1" applyBorder="1" applyAlignment="1">
      <alignment horizontal="right" vertical="center"/>
    </xf>
    <xf numFmtId="166" fontId="5" fillId="0" borderId="8" xfId="8" applyNumberFormat="1" applyFont="1" applyBorder="1" applyAlignment="1">
      <alignment horizontal="right" vertical="center"/>
    </xf>
    <xf numFmtId="165" fontId="13" fillId="0" borderId="3" xfId="2" applyNumberFormat="1" applyFont="1" applyBorder="1" applyAlignment="1">
      <alignment vertical="center"/>
    </xf>
    <xf numFmtId="165" fontId="13" fillId="0" borderId="3" xfId="2" applyNumberFormat="1" applyFont="1" applyFill="1" applyBorder="1" applyAlignment="1">
      <alignment horizontal="right" vertical="center"/>
    </xf>
    <xf numFmtId="165" fontId="13" fillId="0" borderId="4" xfId="2" applyNumberFormat="1" applyFont="1" applyFill="1" applyBorder="1" applyAlignment="1">
      <alignment horizontal="right" vertical="center"/>
    </xf>
    <xf numFmtId="165" fontId="5" fillId="0" borderId="9" xfId="2" applyNumberFormat="1" applyFont="1" applyFill="1" applyBorder="1" applyAlignment="1">
      <alignment horizontal="right" vertical="center"/>
    </xf>
    <xf numFmtId="165" fontId="5" fillId="0" borderId="4" xfId="2" applyNumberFormat="1" applyFont="1" applyFill="1" applyBorder="1" applyAlignment="1">
      <alignment horizontal="right" vertical="center"/>
    </xf>
    <xf numFmtId="165" fontId="13" fillId="0" borderId="5" xfId="2" applyNumberFormat="1" applyFont="1" applyFill="1" applyBorder="1" applyAlignment="1">
      <alignment horizontal="right" vertical="center"/>
    </xf>
    <xf numFmtId="165" fontId="13" fillId="0" borderId="6" xfId="2" applyNumberFormat="1" applyFont="1" applyFill="1" applyBorder="1" applyAlignment="1">
      <alignment horizontal="right" vertical="center"/>
    </xf>
    <xf numFmtId="166" fontId="5" fillId="0" borderId="0" xfId="2" applyNumberFormat="1" applyFont="1"/>
    <xf numFmtId="9" fontId="5" fillId="0" borderId="0" xfId="2" applyFont="1"/>
    <xf numFmtId="43" fontId="5" fillId="0" borderId="0" xfId="0" applyNumberFormat="1" applyFont="1"/>
    <xf numFmtId="165" fontId="5" fillId="0" borderId="0" xfId="2" applyNumberFormat="1" applyFont="1"/>
    <xf numFmtId="171" fontId="5" fillId="0" borderId="0" xfId="0" applyNumberFormat="1" applyFont="1" applyAlignment="1">
      <alignment vertical="center"/>
    </xf>
    <xf numFmtId="165" fontId="7" fillId="3" borderId="4" xfId="2" applyNumberFormat="1" applyFont="1" applyFill="1" applyBorder="1" applyAlignment="1">
      <alignment horizontal="center" vertical="center" wrapText="1"/>
    </xf>
    <xf numFmtId="165" fontId="5" fillId="0" borderId="3" xfId="2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165" fontId="13" fillId="0" borderId="4" xfId="2" applyNumberFormat="1" applyFont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right" vertical="center"/>
    </xf>
    <xf numFmtId="166" fontId="7" fillId="3" borderId="0" xfId="1" applyNumberFormat="1" applyFont="1" applyFill="1" applyBorder="1" applyAlignment="1">
      <alignment horizontal="center" vertical="center"/>
    </xf>
    <xf numFmtId="166" fontId="7" fillId="3" borderId="5" xfId="1" applyNumberFormat="1" applyFont="1" applyFill="1" applyBorder="1" applyAlignment="1">
      <alignment horizontal="center" vertical="center"/>
    </xf>
    <xf numFmtId="166" fontId="11" fillId="0" borderId="5" xfId="1" applyNumberFormat="1" applyFont="1" applyBorder="1" applyAlignment="1">
      <alignment horizontal="left" vertical="center"/>
    </xf>
    <xf numFmtId="165" fontId="6" fillId="2" borderId="10" xfId="2" applyNumberFormat="1" applyFont="1" applyFill="1" applyBorder="1" applyAlignment="1">
      <alignment horizontal="right" vertical="center"/>
    </xf>
    <xf numFmtId="165" fontId="8" fillId="0" borderId="5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6" fontId="14" fillId="3" borderId="3" xfId="1" applyNumberFormat="1" applyFont="1" applyFill="1" applyBorder="1" applyAlignment="1">
      <alignment horizontal="center" vertical="center" wrapText="1"/>
    </xf>
    <xf numFmtId="166" fontId="14" fillId="3" borderId="9" xfId="1" applyNumberFormat="1" applyFont="1" applyFill="1" applyBorder="1" applyAlignment="1">
      <alignment horizontal="center" vertical="center" wrapText="1"/>
    </xf>
    <xf numFmtId="166" fontId="7" fillId="3" borderId="4" xfId="1" applyNumberFormat="1" applyFont="1" applyFill="1" applyBorder="1" applyAlignment="1">
      <alignment horizontal="center" vertical="center" wrapText="1"/>
    </xf>
    <xf numFmtId="165" fontId="13" fillId="0" borderId="3" xfId="2" applyNumberFormat="1" applyFont="1" applyBorder="1" applyAlignment="1">
      <alignment horizontal="right" vertical="center" wrapText="1"/>
    </xf>
    <xf numFmtId="165" fontId="13" fillId="0" borderId="9" xfId="2" applyNumberFormat="1" applyFont="1" applyBorder="1" applyAlignment="1">
      <alignment horizontal="right" vertical="center" wrapText="1"/>
    </xf>
    <xf numFmtId="165" fontId="13" fillId="0" borderId="5" xfId="2" applyNumberFormat="1" applyFont="1" applyBorder="1" applyAlignment="1">
      <alignment horizontal="right" vertical="center" wrapText="1"/>
    </xf>
    <xf numFmtId="165" fontId="13" fillId="0" borderId="0" xfId="2" applyNumberFormat="1" applyFont="1" applyBorder="1" applyAlignment="1">
      <alignment horizontal="right" vertical="center" wrapText="1"/>
    </xf>
    <xf numFmtId="9" fontId="15" fillId="0" borderId="0" xfId="2" applyFont="1" applyAlignment="1">
      <alignment horizontal="right" vertical="center" wrapText="1"/>
    </xf>
    <xf numFmtId="9" fontId="13" fillId="0" borderId="9" xfId="2" applyFont="1" applyFill="1" applyBorder="1" applyAlignment="1">
      <alignment horizontal="center" vertical="center"/>
    </xf>
    <xf numFmtId="9" fontId="13" fillId="0" borderId="9" xfId="2" applyFont="1" applyFill="1" applyBorder="1" applyAlignment="1">
      <alignment horizontal="center" vertical="center" wrapText="1"/>
    </xf>
    <xf numFmtId="9" fontId="5" fillId="0" borderId="9" xfId="2" applyFont="1" applyFill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9" fontId="13" fillId="0" borderId="1" xfId="2" applyFont="1" applyFill="1" applyBorder="1" applyAlignment="1">
      <alignment horizontal="center" vertical="center"/>
    </xf>
    <xf numFmtId="9" fontId="13" fillId="0" borderId="1" xfId="2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164" fontId="13" fillId="0" borderId="3" xfId="1" applyFont="1" applyFill="1" applyBorder="1" applyAlignment="1">
      <alignment horizontal="left" vertical="center"/>
    </xf>
    <xf numFmtId="164" fontId="13" fillId="0" borderId="7" xfId="1" applyFont="1" applyFill="1" applyBorder="1" applyAlignment="1">
      <alignment horizontal="left" vertical="center"/>
    </xf>
    <xf numFmtId="10" fontId="6" fillId="0" borderId="0" xfId="0" applyNumberFormat="1" applyFont="1" applyAlignment="1">
      <alignment vertical="center"/>
    </xf>
    <xf numFmtId="9" fontId="5" fillId="0" borderId="0" xfId="0" applyNumberFormat="1" applyFont="1"/>
    <xf numFmtId="9" fontId="7" fillId="3" borderId="13" xfId="1" applyNumberFormat="1" applyFont="1" applyFill="1" applyBorder="1" applyAlignment="1">
      <alignment horizontal="center" vertical="center"/>
    </xf>
    <xf numFmtId="9" fontId="7" fillId="3" borderId="13" xfId="1" applyNumberFormat="1" applyFont="1" applyFill="1" applyBorder="1" applyAlignment="1">
      <alignment horizontal="center" vertical="center" wrapText="1"/>
    </xf>
    <xf numFmtId="9" fontId="6" fillId="0" borderId="14" xfId="2" applyFont="1" applyBorder="1" applyAlignment="1">
      <alignment horizontal="right"/>
    </xf>
    <xf numFmtId="9" fontId="8" fillId="0" borderId="14" xfId="2" applyFont="1" applyFill="1" applyBorder="1" applyAlignment="1">
      <alignment horizontal="right"/>
    </xf>
    <xf numFmtId="9" fontId="6" fillId="2" borderId="2" xfId="2" applyFont="1" applyFill="1" applyBorder="1" applyAlignment="1">
      <alignment horizontal="right"/>
    </xf>
    <xf numFmtId="9" fontId="8" fillId="0" borderId="14" xfId="2" applyFont="1" applyFill="1" applyBorder="1" applyAlignment="1">
      <alignment horizontal="right" vertical="center"/>
    </xf>
    <xf numFmtId="9" fontId="9" fillId="0" borderId="14" xfId="2" applyFont="1" applyFill="1" applyBorder="1" applyAlignment="1">
      <alignment horizontal="right"/>
    </xf>
    <xf numFmtId="9" fontId="6" fillId="0" borderId="14" xfId="2" applyFont="1" applyFill="1" applyBorder="1" applyAlignment="1">
      <alignment horizontal="right"/>
    </xf>
    <xf numFmtId="9" fontId="5" fillId="0" borderId="14" xfId="2" applyFont="1" applyFill="1" applyBorder="1" applyAlignment="1">
      <alignment horizontal="right"/>
    </xf>
    <xf numFmtId="9" fontId="5" fillId="0" borderId="15" xfId="2" applyFont="1" applyFill="1" applyBorder="1" applyAlignment="1">
      <alignment horizontal="right"/>
    </xf>
    <xf numFmtId="166" fontId="5" fillId="0" borderId="0" xfId="1" applyNumberFormat="1" applyFont="1" applyAlignment="1">
      <alignment horizontal="right" vertical="center"/>
    </xf>
    <xf numFmtId="43" fontId="5" fillId="0" borderId="0" xfId="0" applyNumberFormat="1" applyFont="1" applyAlignment="1">
      <alignment horizontal="right" vertical="center"/>
    </xf>
    <xf numFmtId="9" fontId="9" fillId="0" borderId="0" xfId="2" applyFont="1" applyFill="1" applyBorder="1"/>
    <xf numFmtId="0" fontId="24" fillId="3" borderId="0" xfId="3" applyFont="1" applyFill="1"/>
    <xf numFmtId="164" fontId="25" fillId="0" borderId="0" xfId="1" applyFont="1"/>
    <xf numFmtId="0" fontId="25" fillId="0" borderId="0" xfId="0" applyFont="1"/>
    <xf numFmtId="0" fontId="26" fillId="0" borderId="0" xfId="0" applyFont="1"/>
    <xf numFmtId="166" fontId="25" fillId="0" borderId="0" xfId="1" applyNumberFormat="1" applyFont="1"/>
    <xf numFmtId="165" fontId="25" fillId="0" borderId="0" xfId="0" applyNumberFormat="1" applyFont="1"/>
    <xf numFmtId="164" fontId="28" fillId="0" borderId="0" xfId="1" applyFont="1" applyAlignment="1"/>
    <xf numFmtId="164" fontId="26" fillId="0" borderId="0" xfId="1" applyFont="1"/>
    <xf numFmtId="166" fontId="25" fillId="0" borderId="0" xfId="0" applyNumberFormat="1" applyFont="1"/>
    <xf numFmtId="164" fontId="29" fillId="3" borderId="3" xfId="1" applyFont="1" applyFill="1" applyBorder="1" applyAlignment="1">
      <alignment horizontal="left" vertical="center"/>
    </xf>
    <xf numFmtId="166" fontId="29" fillId="3" borderId="9" xfId="1" applyNumberFormat="1" applyFont="1" applyFill="1" applyBorder="1" applyAlignment="1">
      <alignment horizontal="center" vertical="center"/>
    </xf>
    <xf numFmtId="166" fontId="25" fillId="0" borderId="0" xfId="6" applyNumberFormat="1" applyFont="1" applyBorder="1" applyAlignment="1">
      <alignment horizontal="right" vertical="center"/>
    </xf>
    <xf numFmtId="166" fontId="29" fillId="3" borderId="11" xfId="1" applyNumberFormat="1" applyFont="1" applyFill="1" applyBorder="1" applyAlignment="1">
      <alignment horizontal="center" vertical="center"/>
    </xf>
    <xf numFmtId="0" fontId="30" fillId="0" borderId="0" xfId="0" applyFont="1"/>
    <xf numFmtId="164" fontId="26" fillId="0" borderId="5" xfId="1" applyFont="1" applyBorder="1" applyAlignment="1">
      <alignment horizontal="left"/>
    </xf>
    <xf numFmtId="166" fontId="26" fillId="0" borderId="5" xfId="1" applyNumberFormat="1" applyFont="1" applyBorder="1"/>
    <xf numFmtId="166" fontId="26" fillId="0" borderId="0" xfId="1" applyNumberFormat="1" applyFont="1" applyBorder="1"/>
    <xf numFmtId="166" fontId="26" fillId="0" borderId="6" xfId="1" applyNumberFormat="1" applyFont="1" applyBorder="1"/>
    <xf numFmtId="166" fontId="26" fillId="0" borderId="5" xfId="1" applyNumberFormat="1" applyFont="1" applyFill="1" applyBorder="1"/>
    <xf numFmtId="165" fontId="26" fillId="0" borderId="3" xfId="2" applyNumberFormat="1" applyFont="1" applyBorder="1"/>
    <xf numFmtId="165" fontId="26" fillId="0" borderId="4" xfId="2" applyNumberFormat="1" applyFont="1" applyBorder="1"/>
    <xf numFmtId="10" fontId="30" fillId="0" borderId="0" xfId="6" applyNumberFormat="1" applyFont="1" applyFill="1" applyBorder="1"/>
    <xf numFmtId="165" fontId="26" fillId="0" borderId="14" xfId="2" applyNumberFormat="1" applyFont="1" applyBorder="1" applyAlignment="1">
      <alignment horizontal="right"/>
    </xf>
    <xf numFmtId="0" fontId="31" fillId="0" borderId="0" xfId="0" applyFont="1"/>
    <xf numFmtId="164" fontId="25" fillId="0" borderId="5" xfId="1" applyFont="1" applyBorder="1" applyAlignment="1">
      <alignment horizontal="left"/>
    </xf>
    <xf numFmtId="166" fontId="25" fillId="0" borderId="5" xfId="1" applyNumberFormat="1" applyFont="1" applyBorder="1" applyAlignment="1">
      <alignment horizontal="left"/>
    </xf>
    <xf numFmtId="166" fontId="25" fillId="0" borderId="0" xfId="1" applyNumberFormat="1" applyFont="1" applyBorder="1" applyAlignment="1">
      <alignment horizontal="left"/>
    </xf>
    <xf numFmtId="166" fontId="25" fillId="0" borderId="6" xfId="1" applyNumberFormat="1" applyFont="1" applyBorder="1" applyAlignment="1">
      <alignment horizontal="left"/>
    </xf>
    <xf numFmtId="165" fontId="25" fillId="0" borderId="5" xfId="2" applyNumberFormat="1" applyFont="1" applyBorder="1"/>
    <xf numFmtId="165" fontId="25" fillId="0" borderId="6" xfId="2" applyNumberFormat="1" applyFont="1" applyBorder="1"/>
    <xf numFmtId="166" fontId="31" fillId="0" borderId="5" xfId="1" applyNumberFormat="1" applyFont="1" applyFill="1" applyBorder="1"/>
    <xf numFmtId="166" fontId="31" fillId="0" borderId="0" xfId="1" applyNumberFormat="1" applyFont="1" applyFill="1" applyBorder="1"/>
    <xf numFmtId="165" fontId="31" fillId="0" borderId="14" xfId="2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left"/>
    </xf>
    <xf numFmtId="165" fontId="25" fillId="0" borderId="7" xfId="2" applyNumberFormat="1" applyFont="1" applyBorder="1"/>
    <xf numFmtId="165" fontId="25" fillId="0" borderId="8" xfId="2" applyNumberFormat="1" applyFont="1" applyBorder="1"/>
    <xf numFmtId="166" fontId="25" fillId="0" borderId="5" xfId="1" applyNumberFormat="1" applyFont="1" applyFill="1" applyBorder="1"/>
    <xf numFmtId="166" fontId="25" fillId="0" borderId="0" xfId="1" applyNumberFormat="1" applyFont="1" applyFill="1" applyBorder="1"/>
    <xf numFmtId="164" fontId="26" fillId="2" borderId="10" xfId="1" applyFont="1" applyFill="1" applyBorder="1" applyAlignment="1">
      <alignment horizontal="left" indent="1"/>
    </xf>
    <xf numFmtId="166" fontId="26" fillId="2" borderId="10" xfId="1" applyNumberFormat="1" applyFont="1" applyFill="1" applyBorder="1" applyAlignment="1">
      <alignment horizontal="left"/>
    </xf>
    <xf numFmtId="166" fontId="26" fillId="2" borderId="11" xfId="1" applyNumberFormat="1" applyFont="1" applyFill="1" applyBorder="1" applyAlignment="1">
      <alignment horizontal="left"/>
    </xf>
    <xf numFmtId="166" fontId="26" fillId="2" borderId="12" xfId="1" applyNumberFormat="1" applyFont="1" applyFill="1" applyBorder="1" applyAlignment="1">
      <alignment horizontal="left"/>
    </xf>
    <xf numFmtId="165" fontId="26" fillId="2" borderId="10" xfId="2" applyNumberFormat="1" applyFont="1" applyFill="1" applyBorder="1"/>
    <xf numFmtId="165" fontId="26" fillId="2" borderId="12" xfId="2" applyNumberFormat="1" applyFont="1" applyFill="1" applyBorder="1"/>
    <xf numFmtId="166" fontId="30" fillId="0" borderId="0" xfId="6" applyNumberFormat="1" applyFont="1" applyFill="1" applyBorder="1"/>
    <xf numFmtId="166" fontId="26" fillId="2" borderId="10" xfId="1" applyNumberFormat="1" applyFont="1" applyFill="1" applyBorder="1"/>
    <xf numFmtId="166" fontId="26" fillId="2" borderId="11" xfId="1" applyNumberFormat="1" applyFont="1" applyFill="1" applyBorder="1"/>
    <xf numFmtId="165" fontId="26" fillId="2" borderId="2" xfId="2" applyNumberFormat="1" applyFont="1" applyFill="1" applyBorder="1" applyAlignment="1">
      <alignment horizontal="right"/>
    </xf>
    <xf numFmtId="164" fontId="31" fillId="0" borderId="5" xfId="1" applyFont="1" applyBorder="1" applyAlignment="1">
      <alignment horizontal="left"/>
    </xf>
    <xf numFmtId="166" fontId="31" fillId="0" borderId="5" xfId="1" applyNumberFormat="1" applyFont="1" applyBorder="1" applyAlignment="1">
      <alignment horizontal="left"/>
    </xf>
    <xf numFmtId="166" fontId="31" fillId="0" borderId="0" xfId="1" applyNumberFormat="1" applyFont="1" applyBorder="1" applyAlignment="1">
      <alignment horizontal="left"/>
    </xf>
    <xf numFmtId="166" fontId="31" fillId="0" borderId="6" xfId="1" applyNumberFormat="1" applyFont="1" applyBorder="1" applyAlignment="1">
      <alignment horizontal="left"/>
    </xf>
    <xf numFmtId="165" fontId="31" fillId="0" borderId="5" xfId="2" applyNumberFormat="1" applyFont="1" applyBorder="1"/>
    <xf numFmtId="165" fontId="31" fillId="0" borderId="6" xfId="2" applyNumberFormat="1" applyFont="1" applyBorder="1"/>
    <xf numFmtId="164" fontId="31" fillId="0" borderId="5" xfId="1" applyFont="1" applyBorder="1" applyAlignment="1">
      <alignment horizontal="left" indent="2"/>
    </xf>
    <xf numFmtId="166" fontId="31" fillId="0" borderId="5" xfId="1" applyNumberFormat="1" applyFont="1" applyBorder="1" applyAlignment="1">
      <alignment horizontal="left" indent="2"/>
    </xf>
    <xf numFmtId="166" fontId="31" fillId="0" borderId="0" xfId="1" applyNumberFormat="1" applyFont="1" applyBorder="1" applyAlignment="1">
      <alignment horizontal="left" indent="2"/>
    </xf>
    <xf numFmtId="166" fontId="31" fillId="0" borderId="6" xfId="1" applyNumberFormat="1" applyFont="1" applyBorder="1" applyAlignment="1">
      <alignment horizontal="left" indent="2"/>
    </xf>
    <xf numFmtId="166" fontId="31" fillId="0" borderId="5" xfId="1" applyNumberFormat="1" applyFont="1" applyFill="1" applyBorder="1" applyAlignment="1">
      <alignment horizontal="left" indent="1"/>
    </xf>
    <xf numFmtId="166" fontId="31" fillId="0" borderId="0" xfId="1" applyNumberFormat="1" applyFont="1" applyFill="1" applyBorder="1" applyAlignment="1">
      <alignment horizontal="left" indent="1"/>
    </xf>
    <xf numFmtId="164" fontId="26" fillId="2" borderId="10" xfId="1" applyFont="1" applyFill="1" applyBorder="1" applyAlignment="1">
      <alignment horizontal="left"/>
    </xf>
    <xf numFmtId="166" fontId="25" fillId="0" borderId="5" xfId="1" applyNumberFormat="1" applyFont="1" applyFill="1" applyBorder="1" applyAlignment="1">
      <alignment vertical="center"/>
    </xf>
    <xf numFmtId="166" fontId="25" fillId="0" borderId="0" xfId="1" applyNumberFormat="1" applyFont="1" applyFill="1" applyBorder="1" applyAlignment="1">
      <alignment vertical="center"/>
    </xf>
    <xf numFmtId="165" fontId="31" fillId="0" borderId="14" xfId="2" applyNumberFormat="1" applyFont="1" applyFill="1" applyBorder="1" applyAlignment="1">
      <alignment horizontal="right" vertical="center"/>
    </xf>
    <xf numFmtId="166" fontId="26" fillId="0" borderId="5" xfId="1" applyNumberFormat="1" applyFont="1" applyBorder="1" applyAlignment="1">
      <alignment horizontal="left"/>
    </xf>
    <xf numFmtId="166" fontId="26" fillId="0" borderId="0" xfId="1" applyNumberFormat="1" applyFont="1" applyBorder="1" applyAlignment="1">
      <alignment horizontal="left"/>
    </xf>
    <xf numFmtId="166" fontId="26" fillId="0" borderId="6" xfId="1" applyNumberFormat="1" applyFont="1" applyBorder="1" applyAlignment="1">
      <alignment horizontal="left"/>
    </xf>
    <xf numFmtId="165" fontId="26" fillId="0" borderId="5" xfId="2" applyNumberFormat="1" applyFont="1" applyBorder="1"/>
    <xf numFmtId="165" fontId="26" fillId="0" borderId="6" xfId="2" applyNumberFormat="1" applyFont="1" applyBorder="1"/>
    <xf numFmtId="166" fontId="26" fillId="0" borderId="0" xfId="1" applyNumberFormat="1" applyFont="1" applyFill="1" applyBorder="1"/>
    <xf numFmtId="165" fontId="30" fillId="0" borderId="14" xfId="2" applyNumberFormat="1" applyFont="1" applyFill="1" applyBorder="1" applyAlignment="1">
      <alignment horizontal="right"/>
    </xf>
    <xf numFmtId="164" fontId="26" fillId="0" borderId="5" xfId="1" applyFont="1" applyFill="1" applyBorder="1" applyAlignment="1">
      <alignment horizontal="left" indent="1"/>
    </xf>
    <xf numFmtId="166" fontId="26" fillId="0" borderId="5" xfId="0" applyNumberFormat="1" applyFont="1" applyBorder="1"/>
    <xf numFmtId="166" fontId="26" fillId="0" borderId="0" xfId="0" applyNumberFormat="1" applyFont="1"/>
    <xf numFmtId="166" fontId="26" fillId="0" borderId="6" xfId="0" applyNumberFormat="1" applyFont="1" applyBorder="1"/>
    <xf numFmtId="166" fontId="26" fillId="0" borderId="5" xfId="1" applyNumberFormat="1" applyFont="1" applyFill="1" applyBorder="1" applyAlignment="1">
      <alignment horizontal="left"/>
    </xf>
    <xf numFmtId="166" fontId="26" fillId="0" borderId="0" xfId="1" applyNumberFormat="1" applyFont="1" applyFill="1" applyBorder="1" applyAlignment="1">
      <alignment horizontal="left"/>
    </xf>
    <xf numFmtId="165" fontId="26" fillId="0" borderId="14" xfId="2" applyNumberFormat="1" applyFont="1" applyFill="1" applyBorder="1" applyAlignment="1">
      <alignment horizontal="right"/>
    </xf>
    <xf numFmtId="166" fontId="31" fillId="0" borderId="6" xfId="1" applyNumberFormat="1" applyFont="1" applyFill="1" applyBorder="1" applyAlignment="1">
      <alignment horizontal="left" indent="1"/>
    </xf>
    <xf numFmtId="166" fontId="31" fillId="0" borderId="5" xfId="1" applyNumberFormat="1" applyFont="1" applyFill="1" applyBorder="1" applyAlignment="1">
      <alignment horizontal="left"/>
    </xf>
    <xf numFmtId="166" fontId="31" fillId="0" borderId="0" xfId="1" applyNumberFormat="1" applyFont="1" applyFill="1" applyBorder="1" applyAlignment="1">
      <alignment horizontal="left"/>
    </xf>
    <xf numFmtId="166" fontId="26" fillId="2" borderId="12" xfId="1" applyNumberFormat="1" applyFont="1" applyFill="1" applyBorder="1"/>
    <xf numFmtId="166" fontId="25" fillId="0" borderId="5" xfId="1" applyNumberFormat="1" applyFont="1" applyFill="1" applyBorder="1" applyAlignment="1">
      <alignment horizontal="left"/>
    </xf>
    <xf numFmtId="165" fontId="25" fillId="0" borderId="14" xfId="2" applyNumberFormat="1" applyFont="1" applyFill="1" applyBorder="1" applyAlignment="1">
      <alignment horizontal="right"/>
    </xf>
    <xf numFmtId="164" fontId="25" fillId="0" borderId="7" xfId="1" applyFont="1" applyBorder="1" applyAlignment="1">
      <alignment horizontal="left"/>
    </xf>
    <xf numFmtId="166" fontId="25" fillId="0" borderId="7" xfId="1" applyNumberFormat="1" applyFont="1" applyBorder="1" applyAlignment="1">
      <alignment horizontal="left"/>
    </xf>
    <xf numFmtId="166" fontId="25" fillId="0" borderId="1" xfId="1" applyNumberFormat="1" applyFont="1" applyBorder="1" applyAlignment="1">
      <alignment horizontal="left"/>
    </xf>
    <xf numFmtId="166" fontId="25" fillId="0" borderId="8" xfId="1" applyNumberFormat="1" applyFont="1" applyBorder="1" applyAlignment="1">
      <alignment horizontal="left"/>
    </xf>
    <xf numFmtId="166" fontId="25" fillId="0" borderId="7" xfId="1" applyNumberFormat="1" applyFont="1" applyFill="1" applyBorder="1" applyAlignment="1">
      <alignment horizontal="left"/>
    </xf>
    <xf numFmtId="165" fontId="25" fillId="0" borderId="15" xfId="2" applyNumberFormat="1" applyFont="1" applyFill="1" applyBorder="1" applyAlignment="1">
      <alignment horizontal="right"/>
    </xf>
    <xf numFmtId="10" fontId="25" fillId="0" borderId="0" xfId="2" applyNumberFormat="1" applyFont="1"/>
    <xf numFmtId="164" fontId="29" fillId="3" borderId="13" xfId="1" applyFont="1" applyFill="1" applyBorder="1" applyAlignment="1">
      <alignment horizontal="left" vertical="center"/>
    </xf>
    <xf numFmtId="166" fontId="29" fillId="3" borderId="3" xfId="1" applyNumberFormat="1" applyFont="1" applyFill="1" applyBorder="1" applyAlignment="1">
      <alignment horizontal="center" vertical="center"/>
    </xf>
    <xf numFmtId="166" fontId="29" fillId="3" borderId="4" xfId="1" applyNumberFormat="1" applyFont="1" applyFill="1" applyBorder="1" applyAlignment="1">
      <alignment horizontal="center" vertical="center"/>
    </xf>
    <xf numFmtId="166" fontId="29" fillId="3" borderId="10" xfId="1" applyNumberFormat="1" applyFont="1" applyFill="1" applyBorder="1" applyAlignment="1">
      <alignment horizontal="center" vertical="center"/>
    </xf>
    <xf numFmtId="166" fontId="29" fillId="3" borderId="12" xfId="1" applyNumberFormat="1" applyFont="1" applyFill="1" applyBorder="1" applyAlignment="1">
      <alignment horizontal="center" vertical="center"/>
    </xf>
    <xf numFmtId="164" fontId="32" fillId="0" borderId="14" xfId="1" applyFont="1" applyBorder="1" applyAlignment="1">
      <alignment horizontal="left" vertical="center"/>
    </xf>
    <xf numFmtId="166" fontId="25" fillId="0" borderId="5" xfId="1" applyNumberFormat="1" applyFont="1" applyBorder="1" applyAlignment="1">
      <alignment vertical="center"/>
    </xf>
    <xf numFmtId="166" fontId="25" fillId="0" borderId="0" xfId="1" applyNumberFormat="1" applyFont="1" applyBorder="1" applyAlignment="1">
      <alignment vertical="center"/>
    </xf>
    <xf numFmtId="166" fontId="25" fillId="0" borderId="6" xfId="1" applyNumberFormat="1" applyFont="1" applyBorder="1" applyAlignment="1">
      <alignment vertical="center"/>
    </xf>
    <xf numFmtId="165" fontId="25" fillId="0" borderId="6" xfId="2" applyNumberFormat="1" applyFont="1" applyBorder="1" applyAlignment="1">
      <alignment horizontal="right" vertical="center"/>
    </xf>
    <xf numFmtId="164" fontId="25" fillId="0" borderId="14" xfId="1" applyFont="1" applyBorder="1" applyAlignment="1">
      <alignment horizontal="left" vertical="center"/>
    </xf>
    <xf numFmtId="166" fontId="25" fillId="0" borderId="5" xfId="1" applyNumberFormat="1" applyFont="1" applyBorder="1" applyAlignment="1">
      <alignment horizontal="left" vertical="center"/>
    </xf>
    <xf numFmtId="166" fontId="25" fillId="0" borderId="0" xfId="1" applyNumberFormat="1" applyFont="1" applyBorder="1" applyAlignment="1">
      <alignment horizontal="left" vertical="center"/>
    </xf>
    <xf numFmtId="166" fontId="25" fillId="0" borderId="6" xfId="1" applyNumberFormat="1" applyFont="1" applyBorder="1" applyAlignment="1">
      <alignment horizontal="left" vertical="center"/>
    </xf>
    <xf numFmtId="164" fontId="26" fillId="0" borderId="14" xfId="1" applyFont="1" applyBorder="1" applyAlignment="1">
      <alignment horizontal="left" vertical="center"/>
    </xf>
    <xf numFmtId="166" fontId="26" fillId="0" borderId="5" xfId="1" applyNumberFormat="1" applyFont="1" applyBorder="1" applyAlignment="1">
      <alignment horizontal="left" vertical="center"/>
    </xf>
    <xf numFmtId="166" fontId="26" fillId="0" borderId="0" xfId="1" applyNumberFormat="1" applyFont="1" applyBorder="1" applyAlignment="1">
      <alignment horizontal="left" vertical="center"/>
    </xf>
    <xf numFmtId="166" fontId="26" fillId="0" borderId="6" xfId="1" applyNumberFormat="1" applyFont="1" applyBorder="1" applyAlignment="1">
      <alignment horizontal="left" vertical="center"/>
    </xf>
    <xf numFmtId="164" fontId="25" fillId="0" borderId="0" xfId="1" applyFont="1" applyAlignment="1">
      <alignment vertical="center"/>
    </xf>
    <xf numFmtId="165" fontId="25" fillId="0" borderId="6" xfId="2" applyNumberFormat="1" applyFont="1" applyFill="1" applyBorder="1" applyAlignment="1">
      <alignment horizontal="right" vertical="center"/>
    </xf>
    <xf numFmtId="166" fontId="25" fillId="0" borderId="0" xfId="1" applyNumberFormat="1" applyFont="1" applyFill="1" applyBorder="1" applyAlignment="1">
      <alignment horizontal="left" vertical="center"/>
    </xf>
    <xf numFmtId="166" fontId="25" fillId="0" borderId="5" xfId="1" applyNumberFormat="1" applyFont="1" applyFill="1" applyBorder="1" applyAlignment="1">
      <alignment horizontal="left" vertical="center"/>
    </xf>
    <xf numFmtId="166" fontId="25" fillId="0" borderId="6" xfId="1" applyNumberFormat="1" applyFont="1" applyFill="1" applyBorder="1" applyAlignment="1">
      <alignment horizontal="left" vertical="center"/>
    </xf>
    <xf numFmtId="164" fontId="26" fillId="2" borderId="2" xfId="1" applyFont="1" applyFill="1" applyBorder="1" applyAlignment="1">
      <alignment horizontal="left" vertical="center"/>
    </xf>
    <xf numFmtId="166" fontId="26" fillId="2" borderId="10" xfId="1" applyNumberFormat="1" applyFont="1" applyFill="1" applyBorder="1" applyAlignment="1">
      <alignment horizontal="left" vertical="center"/>
    </xf>
    <xf numFmtId="166" fontId="26" fillId="2" borderId="11" xfId="1" applyNumberFormat="1" applyFont="1" applyFill="1" applyBorder="1" applyAlignment="1">
      <alignment horizontal="left" vertical="center"/>
    </xf>
    <xf numFmtId="166" fontId="26" fillId="2" borderId="12" xfId="1" applyNumberFormat="1" applyFont="1" applyFill="1" applyBorder="1" applyAlignment="1">
      <alignment horizontal="left" vertical="center"/>
    </xf>
    <xf numFmtId="165" fontId="26" fillId="2" borderId="12" xfId="2" applyNumberFormat="1" applyFont="1" applyFill="1" applyBorder="1" applyAlignment="1">
      <alignment horizontal="right" vertical="center"/>
    </xf>
    <xf numFmtId="166" fontId="32" fillId="0" borderId="5" xfId="1" applyNumberFormat="1" applyFont="1" applyBorder="1" applyAlignment="1">
      <alignment horizontal="left" vertical="center"/>
    </xf>
    <xf numFmtId="166" fontId="32" fillId="0" borderId="0" xfId="1" applyNumberFormat="1" applyFont="1" applyBorder="1" applyAlignment="1">
      <alignment horizontal="left" vertical="center"/>
    </xf>
    <xf numFmtId="166" fontId="32" fillId="0" borderId="6" xfId="1" applyNumberFormat="1" applyFont="1" applyBorder="1" applyAlignment="1">
      <alignment horizontal="left" vertical="center"/>
    </xf>
    <xf numFmtId="165" fontId="32" fillId="0" borderId="6" xfId="2" applyNumberFormat="1" applyFont="1" applyBorder="1" applyAlignment="1">
      <alignment horizontal="right" vertical="center"/>
    </xf>
    <xf numFmtId="164" fontId="25" fillId="0" borderId="15" xfId="1" applyFont="1" applyBorder="1" applyAlignment="1">
      <alignment horizontal="left" vertical="center"/>
    </xf>
    <xf numFmtId="166" fontId="25" fillId="0" borderId="7" xfId="1" applyNumberFormat="1" applyFont="1" applyBorder="1" applyAlignment="1">
      <alignment horizontal="left" vertical="center"/>
    </xf>
    <xf numFmtId="166" fontId="25" fillId="0" borderId="1" xfId="1" applyNumberFormat="1" applyFont="1" applyBorder="1" applyAlignment="1">
      <alignment horizontal="left" vertical="center"/>
    </xf>
    <xf numFmtId="166" fontId="25" fillId="0" borderId="8" xfId="1" applyNumberFormat="1" applyFont="1" applyBorder="1" applyAlignment="1">
      <alignment horizontal="left" vertical="center"/>
    </xf>
    <xf numFmtId="165" fontId="25" fillId="0" borderId="8" xfId="2" applyNumberFormat="1" applyFont="1" applyBorder="1" applyAlignment="1">
      <alignment horizontal="right" vertical="center"/>
    </xf>
    <xf numFmtId="164" fontId="26" fillId="0" borderId="0" xfId="1" applyFont="1" applyFill="1" applyBorder="1" applyAlignment="1">
      <alignment horizontal="left" vertical="center"/>
    </xf>
    <xf numFmtId="166" fontId="26" fillId="0" borderId="0" xfId="1" applyNumberFormat="1" applyFont="1" applyFill="1" applyBorder="1" applyAlignment="1">
      <alignment horizontal="left" vertical="center"/>
    </xf>
    <xf numFmtId="166" fontId="25" fillId="0" borderId="0" xfId="1" applyNumberFormat="1" applyFont="1" applyFill="1" applyAlignment="1">
      <alignment vertical="center"/>
    </xf>
    <xf numFmtId="165" fontId="26" fillId="0" borderId="0" xfId="2" applyNumberFormat="1" applyFont="1" applyFill="1" applyBorder="1" applyAlignment="1">
      <alignment horizontal="right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164" fontId="29" fillId="3" borderId="4" xfId="0" applyNumberFormat="1" applyFont="1" applyFill="1" applyBorder="1" applyAlignment="1">
      <alignment horizontal="center" vertical="center"/>
    </xf>
    <xf numFmtId="164" fontId="25" fillId="0" borderId="13" xfId="1" applyFont="1" applyBorder="1" applyAlignment="1">
      <alignment vertical="center"/>
    </xf>
    <xf numFmtId="166" fontId="25" fillId="0" borderId="3" xfId="1" applyNumberFormat="1" applyFont="1" applyBorder="1" applyAlignment="1">
      <alignment vertical="center"/>
    </xf>
    <xf numFmtId="166" fontId="25" fillId="0" borderId="9" xfId="1" applyNumberFormat="1" applyFont="1" applyBorder="1" applyAlignment="1">
      <alignment vertical="center"/>
    </xf>
    <xf numFmtId="166" fontId="25" fillId="0" borderId="4" xfId="1" applyNumberFormat="1" applyFont="1" applyBorder="1" applyAlignment="1">
      <alignment vertical="center"/>
    </xf>
    <xf numFmtId="164" fontId="25" fillId="0" borderId="14" xfId="1" applyFont="1" applyBorder="1" applyAlignment="1">
      <alignment vertical="center"/>
    </xf>
    <xf numFmtId="166" fontId="25" fillId="0" borderId="6" xfId="1" applyNumberFormat="1" applyFont="1" applyFill="1" applyBorder="1" applyAlignment="1">
      <alignment vertical="center"/>
    </xf>
    <xf numFmtId="164" fontId="26" fillId="2" borderId="13" xfId="1" applyFont="1" applyFill="1" applyBorder="1" applyAlignment="1">
      <alignment vertical="center"/>
    </xf>
    <xf numFmtId="166" fontId="25" fillId="2" borderId="3" xfId="1" applyNumberFormat="1" applyFont="1" applyFill="1" applyBorder="1" applyAlignment="1">
      <alignment vertical="center"/>
    </xf>
    <xf numFmtId="166" fontId="25" fillId="2" borderId="9" xfId="1" applyNumberFormat="1" applyFont="1" applyFill="1" applyBorder="1" applyAlignment="1">
      <alignment vertical="center"/>
    </xf>
    <xf numFmtId="166" fontId="25" fillId="2" borderId="4" xfId="1" applyNumberFormat="1" applyFont="1" applyFill="1" applyBorder="1" applyAlignment="1">
      <alignment vertical="center"/>
    </xf>
    <xf numFmtId="166" fontId="25" fillId="2" borderId="10" xfId="1" applyNumberFormat="1" applyFont="1" applyFill="1" applyBorder="1" applyAlignment="1">
      <alignment vertical="center"/>
    </xf>
    <xf numFmtId="166" fontId="25" fillId="2" borderId="12" xfId="1" applyNumberFormat="1" applyFont="1" applyFill="1" applyBorder="1" applyAlignment="1">
      <alignment horizontal="right" vertical="center"/>
    </xf>
    <xf numFmtId="9" fontId="25" fillId="0" borderId="0" xfId="2" applyFont="1" applyAlignment="1">
      <alignment vertical="center"/>
    </xf>
    <xf numFmtId="164" fontId="25" fillId="0" borderId="13" xfId="1" applyFont="1" applyBorder="1" applyAlignment="1">
      <alignment horizontal="left" vertical="center"/>
    </xf>
    <xf numFmtId="165" fontId="25" fillId="0" borderId="3" xfId="2" applyNumberFormat="1" applyFont="1" applyBorder="1" applyAlignment="1">
      <alignment vertical="center"/>
    </xf>
    <xf numFmtId="165" fontId="25" fillId="0" borderId="9" xfId="2" applyNumberFormat="1" applyFont="1" applyBorder="1" applyAlignment="1">
      <alignment vertical="center"/>
    </xf>
    <xf numFmtId="165" fontId="25" fillId="0" borderId="4" xfId="2" applyNumberFormat="1" applyFont="1" applyBorder="1" applyAlignment="1">
      <alignment vertical="center"/>
    </xf>
    <xf numFmtId="165" fontId="25" fillId="0" borderId="5" xfId="2" applyNumberFormat="1" applyFont="1" applyBorder="1" applyAlignment="1">
      <alignment vertical="center"/>
    </xf>
    <xf numFmtId="165" fontId="25" fillId="0" borderId="0" xfId="2" applyNumberFormat="1" applyFont="1" applyBorder="1" applyAlignment="1">
      <alignment vertical="center"/>
    </xf>
    <xf numFmtId="165" fontId="25" fillId="0" borderId="6" xfId="2" applyNumberFormat="1" applyFont="1" applyBorder="1" applyAlignment="1">
      <alignment vertical="center"/>
    </xf>
    <xf numFmtId="164" fontId="31" fillId="0" borderId="14" xfId="1" applyFont="1" applyFill="1" applyBorder="1" applyAlignment="1">
      <alignment horizontal="left" vertical="center"/>
    </xf>
    <xf numFmtId="165" fontId="31" fillId="0" borderId="5" xfId="2" applyNumberFormat="1" applyFont="1" applyFill="1" applyBorder="1" applyAlignment="1">
      <alignment vertical="center"/>
    </xf>
    <xf numFmtId="165" fontId="31" fillId="0" borderId="0" xfId="2" applyNumberFormat="1" applyFont="1" applyFill="1" applyBorder="1" applyAlignment="1">
      <alignment vertical="center"/>
    </xf>
    <xf numFmtId="165" fontId="31" fillId="0" borderId="6" xfId="2" applyNumberFormat="1" applyFont="1" applyFill="1" applyBorder="1" applyAlignment="1">
      <alignment vertical="center"/>
    </xf>
    <xf numFmtId="164" fontId="26" fillId="2" borderId="2" xfId="1" applyFont="1" applyFill="1" applyBorder="1" applyAlignment="1">
      <alignment vertical="center"/>
    </xf>
    <xf numFmtId="166" fontId="25" fillId="2" borderId="11" xfId="1" applyNumberFormat="1" applyFont="1" applyFill="1" applyBorder="1" applyAlignment="1">
      <alignment vertical="center"/>
    </xf>
    <xf numFmtId="166" fontId="25" fillId="2" borderId="12" xfId="1" applyNumberFormat="1" applyFont="1" applyFill="1" applyBorder="1" applyAlignment="1">
      <alignment vertical="center"/>
    </xf>
    <xf numFmtId="164" fontId="25" fillId="0" borderId="14" xfId="1" applyFont="1" applyFill="1" applyBorder="1" applyAlignment="1">
      <alignment horizontal="left" vertical="center"/>
    </xf>
    <xf numFmtId="165" fontId="25" fillId="0" borderId="5" xfId="2" applyNumberFormat="1" applyFont="1" applyFill="1" applyBorder="1" applyAlignment="1">
      <alignment vertical="center"/>
    </xf>
    <xf numFmtId="165" fontId="25" fillId="0" borderId="0" xfId="2" applyNumberFormat="1" applyFont="1" applyFill="1" applyBorder="1" applyAlignment="1">
      <alignment vertical="center"/>
    </xf>
    <xf numFmtId="165" fontId="25" fillId="0" borderId="6" xfId="2" applyNumberFormat="1" applyFont="1" applyFill="1" applyBorder="1" applyAlignment="1">
      <alignment vertical="center"/>
    </xf>
    <xf numFmtId="165" fontId="25" fillId="0" borderId="4" xfId="2" applyNumberFormat="1" applyFont="1" applyFill="1" applyBorder="1" applyAlignment="1">
      <alignment vertical="center"/>
    </xf>
    <xf numFmtId="167" fontId="26" fillId="0" borderId="13" xfId="1" applyNumberFormat="1" applyFont="1" applyFill="1" applyBorder="1" applyAlignment="1">
      <alignment horizontal="left" vertical="center"/>
    </xf>
    <xf numFmtId="167" fontId="26" fillId="0" borderId="3" xfId="1" applyNumberFormat="1" applyFont="1" applyFill="1" applyBorder="1" applyAlignment="1">
      <alignment vertical="center"/>
    </xf>
    <xf numFmtId="167" fontId="26" fillId="0" borderId="9" xfId="1" applyNumberFormat="1" applyFont="1" applyFill="1" applyBorder="1" applyAlignment="1">
      <alignment vertical="center"/>
    </xf>
    <xf numFmtId="167" fontId="26" fillId="0" borderId="4" xfId="1" applyNumberFormat="1" applyFont="1" applyFill="1" applyBorder="1" applyAlignment="1">
      <alignment vertical="center"/>
    </xf>
    <xf numFmtId="167" fontId="26" fillId="0" borderId="5" xfId="1" applyNumberFormat="1" applyFont="1" applyFill="1" applyBorder="1" applyAlignment="1">
      <alignment vertical="center"/>
    </xf>
    <xf numFmtId="167" fontId="25" fillId="0" borderId="14" xfId="1" applyNumberFormat="1" applyFont="1" applyBorder="1" applyAlignment="1">
      <alignment horizontal="left" vertical="center"/>
    </xf>
    <xf numFmtId="167" fontId="25" fillId="0" borderId="5" xfId="1" applyNumberFormat="1" applyFont="1" applyBorder="1" applyAlignment="1">
      <alignment vertical="center"/>
    </xf>
    <xf numFmtId="167" fontId="25" fillId="0" borderId="0" xfId="1" applyNumberFormat="1" applyFont="1" applyBorder="1" applyAlignment="1">
      <alignment vertical="center"/>
    </xf>
    <xf numFmtId="167" fontId="25" fillId="0" borderId="6" xfId="1" applyNumberFormat="1" applyFont="1" applyBorder="1" applyAlignment="1">
      <alignment vertical="center"/>
    </xf>
    <xf numFmtId="167" fontId="25" fillId="0" borderId="0" xfId="1" applyNumberFormat="1" applyFont="1" applyFill="1" applyBorder="1" applyAlignment="1">
      <alignment vertical="center"/>
    </xf>
    <xf numFmtId="167" fontId="25" fillId="0" borderId="5" xfId="1" applyNumberFormat="1" applyFont="1" applyFill="1" applyBorder="1" applyAlignment="1">
      <alignment vertical="center"/>
    </xf>
    <xf numFmtId="167" fontId="25" fillId="0" borderId="6" xfId="1" applyNumberFormat="1" applyFont="1" applyFill="1" applyBorder="1" applyAlignment="1">
      <alignment vertical="center"/>
    </xf>
    <xf numFmtId="167" fontId="31" fillId="0" borderId="5" xfId="1" applyNumberFormat="1" applyFont="1" applyFill="1" applyBorder="1" applyAlignment="1">
      <alignment vertical="center"/>
    </xf>
    <xf numFmtId="167" fontId="31" fillId="0" borderId="0" xfId="1" applyNumberFormat="1" applyFont="1" applyFill="1" applyBorder="1" applyAlignment="1">
      <alignment vertical="center"/>
    </xf>
    <xf numFmtId="167" fontId="31" fillId="0" borderId="6" xfId="1" applyNumberFormat="1" applyFont="1" applyFill="1" applyBorder="1" applyAlignment="1">
      <alignment vertical="center"/>
    </xf>
    <xf numFmtId="0" fontId="25" fillId="2" borderId="10" xfId="0" applyFont="1" applyFill="1" applyBorder="1" applyAlignment="1">
      <alignment vertical="center"/>
    </xf>
    <xf numFmtId="0" fontId="25" fillId="2" borderId="11" xfId="0" applyFont="1" applyFill="1" applyBorder="1" applyAlignment="1">
      <alignment vertical="center"/>
    </xf>
    <xf numFmtId="0" fontId="25" fillId="2" borderId="12" xfId="0" applyFont="1" applyFill="1" applyBorder="1" applyAlignment="1">
      <alignment vertical="center"/>
    </xf>
    <xf numFmtId="165" fontId="25" fillId="0" borderId="9" xfId="2" applyNumberFormat="1" applyFont="1" applyFill="1" applyBorder="1" applyAlignment="1">
      <alignment vertical="center"/>
    </xf>
    <xf numFmtId="165" fontId="25" fillId="0" borderId="7" xfId="2" applyNumberFormat="1" applyFont="1" applyBorder="1" applyAlignment="1">
      <alignment vertical="center"/>
    </xf>
    <xf numFmtId="165" fontId="25" fillId="0" borderId="1" xfId="2" applyNumberFormat="1" applyFont="1" applyFill="1" applyBorder="1" applyAlignment="1">
      <alignment vertical="center"/>
    </xf>
    <xf numFmtId="165" fontId="25" fillId="0" borderId="8" xfId="2" applyNumberFormat="1" applyFont="1" applyBorder="1" applyAlignment="1">
      <alignment vertical="center"/>
    </xf>
    <xf numFmtId="165" fontId="25" fillId="0" borderId="1" xfId="2" applyNumberFormat="1" applyFont="1" applyBorder="1" applyAlignment="1">
      <alignment vertical="center"/>
    </xf>
    <xf numFmtId="166" fontId="25" fillId="2" borderId="10" xfId="1" applyNumberFormat="1" applyFont="1" applyFill="1" applyBorder="1" applyAlignment="1">
      <alignment horizontal="right" vertical="center"/>
    </xf>
    <xf numFmtId="166" fontId="25" fillId="2" borderId="11" xfId="1" applyNumberFormat="1" applyFont="1" applyFill="1" applyBorder="1" applyAlignment="1">
      <alignment horizontal="right" vertical="center"/>
    </xf>
    <xf numFmtId="9" fontId="25" fillId="0" borderId="3" xfId="2" applyFont="1" applyFill="1" applyBorder="1" applyAlignment="1">
      <alignment horizontal="right" vertical="center"/>
    </xf>
    <xf numFmtId="9" fontId="25" fillId="0" borderId="9" xfId="2" applyFont="1" applyFill="1" applyBorder="1" applyAlignment="1">
      <alignment horizontal="right" vertical="center"/>
    </xf>
    <xf numFmtId="9" fontId="25" fillId="0" borderId="4" xfId="2" applyFont="1" applyFill="1" applyBorder="1" applyAlignment="1">
      <alignment horizontal="right" vertical="center"/>
    </xf>
    <xf numFmtId="9" fontId="25" fillId="0" borderId="5" xfId="2" applyFont="1" applyFill="1" applyBorder="1" applyAlignment="1">
      <alignment horizontal="right" vertical="center"/>
    </xf>
    <xf numFmtId="165" fontId="25" fillId="0" borderId="4" xfId="2" applyNumberFormat="1" applyFont="1" applyFill="1" applyBorder="1" applyAlignment="1">
      <alignment horizontal="right" vertical="center"/>
    </xf>
    <xf numFmtId="164" fontId="25" fillId="0" borderId="15" xfId="1" applyFont="1" applyBorder="1" applyAlignment="1">
      <alignment vertical="center"/>
    </xf>
    <xf numFmtId="9" fontId="25" fillId="0" borderId="7" xfId="2" applyFont="1" applyFill="1" applyBorder="1" applyAlignment="1">
      <alignment horizontal="right" vertical="center"/>
    </xf>
    <xf numFmtId="9" fontId="25" fillId="0" borderId="1" xfId="2" applyFont="1" applyFill="1" applyBorder="1" applyAlignment="1">
      <alignment horizontal="right" vertical="center"/>
    </xf>
    <xf numFmtId="9" fontId="25" fillId="0" borderId="8" xfId="2" applyFont="1" applyFill="1" applyBorder="1" applyAlignment="1">
      <alignment horizontal="right" vertical="center"/>
    </xf>
    <xf numFmtId="165" fontId="25" fillId="0" borderId="7" xfId="2" applyNumberFormat="1" applyFont="1" applyFill="1" applyBorder="1" applyAlignment="1">
      <alignment horizontal="right" vertical="center"/>
    </xf>
    <xf numFmtId="165" fontId="25" fillId="0" borderId="1" xfId="2" applyNumberFormat="1" applyFont="1" applyFill="1" applyBorder="1" applyAlignment="1">
      <alignment horizontal="right" vertical="center"/>
    </xf>
    <xf numFmtId="165" fontId="25" fillId="0" borderId="8" xfId="2" applyNumberFormat="1" applyFont="1" applyFill="1" applyBorder="1" applyAlignment="1">
      <alignment horizontal="right" vertical="center"/>
    </xf>
    <xf numFmtId="164" fontId="25" fillId="0" borderId="0" xfId="1" applyFont="1" applyBorder="1" applyAlignment="1">
      <alignment vertical="center"/>
    </xf>
    <xf numFmtId="165" fontId="25" fillId="0" borderId="0" xfId="2" applyNumberFormat="1" applyFont="1" applyFill="1" applyBorder="1" applyAlignment="1">
      <alignment horizontal="right" vertical="center"/>
    </xf>
    <xf numFmtId="164" fontId="28" fillId="0" borderId="0" xfId="1" applyFont="1"/>
    <xf numFmtId="9" fontId="25" fillId="0" borderId="0" xfId="2" applyFont="1" applyBorder="1" applyAlignment="1">
      <alignment vertical="center"/>
    </xf>
    <xf numFmtId="9" fontId="25" fillId="0" borderId="6" xfId="2" applyFont="1" applyBorder="1" applyAlignment="1">
      <alignment vertical="center"/>
    </xf>
    <xf numFmtId="164" fontId="31" fillId="0" borderId="5" xfId="1" applyFont="1" applyFill="1" applyBorder="1" applyAlignment="1">
      <alignment vertical="center"/>
    </xf>
    <xf numFmtId="164" fontId="31" fillId="0" borderId="0" xfId="1" applyFont="1" applyFill="1" applyBorder="1" applyAlignment="1">
      <alignment vertical="center"/>
    </xf>
    <xf numFmtId="164" fontId="25" fillId="0" borderId="13" xfId="1" applyFont="1" applyFill="1" applyBorder="1" applyAlignment="1">
      <alignment horizontal="left" vertical="center"/>
    </xf>
    <xf numFmtId="164" fontId="25" fillId="0" borderId="3" xfId="1" applyFont="1" applyBorder="1" applyAlignment="1">
      <alignment vertical="center"/>
    </xf>
    <xf numFmtId="164" fontId="25" fillId="0" borderId="3" xfId="1" applyFont="1" applyFill="1" applyBorder="1" applyAlignment="1">
      <alignment horizontal="right" vertical="center"/>
    </xf>
    <xf numFmtId="164" fontId="25" fillId="0" borderId="7" xfId="1" applyFont="1" applyBorder="1" applyAlignment="1">
      <alignment vertical="center"/>
    </xf>
    <xf numFmtId="164" fontId="25" fillId="0" borderId="7" xfId="1" applyFont="1" applyFill="1" applyBorder="1" applyAlignment="1">
      <alignment horizontal="right" vertical="center"/>
    </xf>
    <xf numFmtId="164" fontId="25" fillId="0" borderId="1" xfId="1" applyFont="1" applyFill="1" applyBorder="1" applyAlignment="1">
      <alignment horizontal="right" vertical="center"/>
    </xf>
    <xf numFmtId="9" fontId="25" fillId="0" borderId="0" xfId="2" applyFont="1" applyFill="1" applyBorder="1" applyAlignment="1">
      <alignment horizontal="right" vertical="center"/>
    </xf>
    <xf numFmtId="164" fontId="29" fillId="3" borderId="3" xfId="0" applyNumberFormat="1" applyFont="1" applyFill="1" applyBorder="1" applyAlignment="1">
      <alignment horizontal="center" vertical="center"/>
    </xf>
    <xf numFmtId="164" fontId="29" fillId="3" borderId="9" xfId="0" applyNumberFormat="1" applyFont="1" applyFill="1" applyBorder="1" applyAlignment="1">
      <alignment horizontal="center" vertical="center"/>
    </xf>
    <xf numFmtId="165" fontId="25" fillId="0" borderId="3" xfId="2" applyNumberFormat="1" applyFont="1" applyFill="1" applyBorder="1" applyAlignment="1">
      <alignment vertical="center"/>
    </xf>
    <xf numFmtId="165" fontId="25" fillId="0" borderId="7" xfId="2" applyNumberFormat="1" applyFont="1" applyFill="1" applyBorder="1" applyAlignment="1">
      <alignment vertical="center"/>
    </xf>
    <xf numFmtId="165" fontId="25" fillId="0" borderId="8" xfId="2" applyNumberFormat="1" applyFont="1" applyFill="1" applyBorder="1" applyAlignment="1">
      <alignment vertical="center"/>
    </xf>
    <xf numFmtId="9" fontId="26" fillId="2" borderId="13" xfId="2" applyFont="1" applyFill="1" applyBorder="1" applyAlignment="1">
      <alignment vertical="center"/>
    </xf>
    <xf numFmtId="9" fontId="26" fillId="2" borderId="3" xfId="2" applyFont="1" applyFill="1" applyBorder="1" applyAlignment="1">
      <alignment vertical="center"/>
    </xf>
    <xf numFmtId="9" fontId="26" fillId="2" borderId="9" xfId="2" applyFont="1" applyFill="1" applyBorder="1" applyAlignment="1">
      <alignment vertical="center"/>
    </xf>
    <xf numFmtId="9" fontId="26" fillId="2" borderId="4" xfId="2" applyFont="1" applyFill="1" applyBorder="1" applyAlignment="1">
      <alignment vertical="center"/>
    </xf>
    <xf numFmtId="9" fontId="26" fillId="2" borderId="5" xfId="2" applyFont="1" applyFill="1" applyBorder="1" applyAlignment="1">
      <alignment vertical="center"/>
    </xf>
    <xf numFmtId="9" fontId="26" fillId="2" borderId="0" xfId="2" applyFont="1" applyFill="1" applyBorder="1" applyAlignment="1">
      <alignment vertical="center"/>
    </xf>
    <xf numFmtId="9" fontId="26" fillId="2" borderId="6" xfId="2" applyFont="1" applyFill="1" applyBorder="1" applyAlignment="1">
      <alignment vertical="center"/>
    </xf>
    <xf numFmtId="164" fontId="25" fillId="0" borderId="10" xfId="1" applyFont="1" applyBorder="1" applyAlignment="1">
      <alignment vertical="center"/>
    </xf>
    <xf numFmtId="165" fontId="25" fillId="0" borderId="11" xfId="2" applyNumberFormat="1" applyFont="1" applyFill="1" applyBorder="1" applyAlignment="1">
      <alignment vertical="center"/>
    </xf>
    <xf numFmtId="165" fontId="25" fillId="0" borderId="12" xfId="2" applyNumberFormat="1" applyFont="1" applyFill="1" applyBorder="1" applyAlignment="1">
      <alignment vertical="center"/>
    </xf>
    <xf numFmtId="164" fontId="26" fillId="2" borderId="15" xfId="1" applyFont="1" applyFill="1" applyBorder="1" applyAlignment="1">
      <alignment vertical="center"/>
    </xf>
    <xf numFmtId="164" fontId="26" fillId="2" borderId="7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164" fontId="26" fillId="2" borderId="1" xfId="0" applyNumberFormat="1" applyFont="1" applyFill="1" applyBorder="1" applyAlignment="1">
      <alignment horizontal="center" vertical="center"/>
    </xf>
    <xf numFmtId="164" fontId="26" fillId="2" borderId="8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165" fontId="26" fillId="0" borderId="0" xfId="0" applyNumberFormat="1" applyFont="1" applyAlignment="1">
      <alignment horizontal="center"/>
    </xf>
    <xf numFmtId="166" fontId="25" fillId="0" borderId="9" xfId="1" applyNumberFormat="1" applyFont="1" applyFill="1" applyBorder="1" applyAlignment="1">
      <alignment vertical="center"/>
    </xf>
    <xf numFmtId="166" fontId="25" fillId="0" borderId="7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vertical="center"/>
    </xf>
    <xf numFmtId="166" fontId="25" fillId="0" borderId="8" xfId="1" applyNumberFormat="1" applyFont="1" applyBorder="1" applyAlignment="1">
      <alignment vertical="center"/>
    </xf>
    <xf numFmtId="166" fontId="26" fillId="2" borderId="10" xfId="1" applyNumberFormat="1" applyFont="1" applyFill="1" applyBorder="1" applyAlignment="1">
      <alignment vertical="center"/>
    </xf>
    <xf numFmtId="166" fontId="26" fillId="2" borderId="11" xfId="1" applyNumberFormat="1" applyFont="1" applyFill="1" applyBorder="1" applyAlignment="1">
      <alignment vertical="center"/>
    </xf>
    <xf numFmtId="166" fontId="26" fillId="2" borderId="12" xfId="1" applyNumberFormat="1" applyFont="1" applyFill="1" applyBorder="1" applyAlignment="1">
      <alignment vertical="center"/>
    </xf>
    <xf numFmtId="166" fontId="26" fillId="2" borderId="5" xfId="1" applyNumberFormat="1" applyFont="1" applyFill="1" applyBorder="1" applyAlignment="1">
      <alignment vertical="center"/>
    </xf>
    <xf numFmtId="166" fontId="26" fillId="2" borderId="0" xfId="1" applyNumberFormat="1" applyFont="1" applyFill="1" applyBorder="1" applyAlignment="1">
      <alignment vertical="center"/>
    </xf>
    <xf numFmtId="166" fontId="26" fillId="2" borderId="6" xfId="1" applyNumberFormat="1" applyFont="1" applyFill="1" applyBorder="1" applyAlignment="1">
      <alignment vertical="center"/>
    </xf>
    <xf numFmtId="0" fontId="25" fillId="0" borderId="3" xfId="0" applyFont="1" applyBorder="1"/>
    <xf numFmtId="166" fontId="25" fillId="0" borderId="9" xfId="1" applyNumberFormat="1" applyFont="1" applyBorder="1"/>
    <xf numFmtId="166" fontId="25" fillId="0" borderId="4" xfId="1" applyNumberFormat="1" applyFont="1" applyBorder="1"/>
    <xf numFmtId="164" fontId="29" fillId="3" borderId="13" xfId="1" applyFont="1" applyFill="1" applyBorder="1" applyAlignment="1">
      <alignment vertical="center"/>
    </xf>
    <xf numFmtId="167" fontId="25" fillId="0" borderId="3" xfId="1" applyNumberFormat="1" applyFont="1" applyBorder="1" applyAlignment="1">
      <alignment vertical="center"/>
    </xf>
    <xf numFmtId="167" fontId="25" fillId="0" borderId="9" xfId="1" applyNumberFormat="1" applyFont="1" applyBorder="1" applyAlignment="1">
      <alignment vertical="center"/>
    </xf>
    <xf numFmtId="167" fontId="25" fillId="0" borderId="4" xfId="1" applyNumberFormat="1" applyFont="1" applyBorder="1" applyAlignment="1">
      <alignment vertical="center"/>
    </xf>
    <xf numFmtId="166" fontId="25" fillId="0" borderId="15" xfId="1" applyNumberFormat="1" applyFont="1" applyBorder="1" applyAlignment="1">
      <alignment vertical="center"/>
    </xf>
    <xf numFmtId="164" fontId="29" fillId="3" borderId="0" xfId="0" applyNumberFormat="1" applyFont="1" applyFill="1" applyAlignment="1">
      <alignment horizontal="center" vertical="center"/>
    </xf>
    <xf numFmtId="166" fontId="25" fillId="0" borderId="13" xfId="1" applyNumberFormat="1" applyFont="1" applyBorder="1" applyAlignment="1">
      <alignment vertical="center"/>
    </xf>
    <xf numFmtId="166" fontId="33" fillId="0" borderId="3" xfId="1" applyNumberFormat="1" applyFont="1" applyBorder="1" applyAlignment="1">
      <alignment horizontal="right" vertical="center"/>
    </xf>
    <xf numFmtId="166" fontId="33" fillId="0" borderId="9" xfId="1" applyNumberFormat="1" applyFont="1" applyBorder="1" applyAlignment="1">
      <alignment horizontal="right" vertical="center"/>
    </xf>
    <xf numFmtId="166" fontId="33" fillId="0" borderId="4" xfId="1" applyNumberFormat="1" applyFont="1" applyBorder="1" applyAlignment="1">
      <alignment horizontal="right" vertical="center"/>
    </xf>
    <xf numFmtId="166" fontId="25" fillId="0" borderId="14" xfId="1" applyNumberFormat="1" applyFont="1" applyBorder="1" applyAlignment="1">
      <alignment vertical="center"/>
    </xf>
    <xf numFmtId="166" fontId="33" fillId="0" borderId="5" xfId="1" applyNumberFormat="1" applyFont="1" applyBorder="1" applyAlignment="1">
      <alignment horizontal="right" vertical="center"/>
    </xf>
    <xf numFmtId="166" fontId="33" fillId="0" borderId="0" xfId="1" applyNumberFormat="1" applyFont="1" applyBorder="1" applyAlignment="1">
      <alignment horizontal="right" vertical="center"/>
    </xf>
    <xf numFmtId="166" fontId="33" fillId="0" borderId="6" xfId="1" applyNumberFormat="1" applyFont="1" applyBorder="1" applyAlignment="1">
      <alignment horizontal="right" vertical="center"/>
    </xf>
    <xf numFmtId="10" fontId="33" fillId="0" borderId="5" xfId="2" applyNumberFormat="1" applyFont="1" applyBorder="1" applyAlignment="1">
      <alignment horizontal="right" vertical="center"/>
    </xf>
    <xf numFmtId="10" fontId="33" fillId="0" borderId="0" xfId="2" applyNumberFormat="1" applyFont="1" applyBorder="1" applyAlignment="1">
      <alignment horizontal="right" vertical="center"/>
    </xf>
    <xf numFmtId="10" fontId="33" fillId="0" borderId="6" xfId="2" applyNumberFormat="1" applyFont="1" applyBorder="1" applyAlignment="1">
      <alignment horizontal="right" vertical="center"/>
    </xf>
    <xf numFmtId="10" fontId="25" fillId="0" borderId="0" xfId="0" applyNumberFormat="1" applyFont="1" applyAlignment="1">
      <alignment vertical="center"/>
    </xf>
    <xf numFmtId="10" fontId="25" fillId="0" borderId="5" xfId="0" applyNumberFormat="1" applyFont="1" applyBorder="1" applyAlignment="1">
      <alignment vertical="center"/>
    </xf>
    <xf numFmtId="10" fontId="25" fillId="0" borderId="6" xfId="0" applyNumberFormat="1" applyFont="1" applyBorder="1" applyAlignment="1">
      <alignment vertical="center"/>
    </xf>
    <xf numFmtId="10" fontId="25" fillId="0" borderId="7" xfId="0" applyNumberFormat="1" applyFont="1" applyBorder="1" applyAlignment="1">
      <alignment vertical="center"/>
    </xf>
    <xf numFmtId="10" fontId="25" fillId="0" borderId="1" xfId="0" applyNumberFormat="1" applyFont="1" applyBorder="1" applyAlignment="1">
      <alignment vertical="center"/>
    </xf>
    <xf numFmtId="10" fontId="25" fillId="0" borderId="8" xfId="0" applyNumberFormat="1" applyFont="1" applyBorder="1" applyAlignment="1">
      <alignment vertical="center"/>
    </xf>
    <xf numFmtId="10" fontId="25" fillId="0" borderId="1" xfId="2" applyNumberFormat="1" applyFont="1" applyBorder="1" applyAlignment="1">
      <alignment vertical="center"/>
    </xf>
    <xf numFmtId="10" fontId="25" fillId="0" borderId="6" xfId="2" applyNumberFormat="1" applyFont="1" applyBorder="1" applyAlignment="1">
      <alignment vertical="center"/>
    </xf>
    <xf numFmtId="164" fontId="26" fillId="2" borderId="3" xfId="1" applyFont="1" applyFill="1" applyBorder="1" applyAlignment="1">
      <alignment vertical="center"/>
    </xf>
    <xf numFmtId="164" fontId="26" fillId="2" borderId="9" xfId="1" applyFont="1" applyFill="1" applyBorder="1" applyAlignment="1">
      <alignment vertical="center"/>
    </xf>
    <xf numFmtId="164" fontId="26" fillId="2" borderId="4" xfId="1" applyFont="1" applyFill="1" applyBorder="1" applyAlignment="1">
      <alignment vertical="center"/>
    </xf>
    <xf numFmtId="171" fontId="26" fillId="2" borderId="9" xfId="2" applyNumberFormat="1" applyFont="1" applyFill="1" applyBorder="1" applyAlignment="1">
      <alignment vertical="center"/>
    </xf>
    <xf numFmtId="171" fontId="26" fillId="2" borderId="12" xfId="2" applyNumberFormat="1" applyFont="1" applyFill="1" applyBorder="1" applyAlignment="1">
      <alignment vertical="center"/>
    </xf>
    <xf numFmtId="10" fontId="25" fillId="0" borderId="3" xfId="2" applyNumberFormat="1" applyFont="1" applyBorder="1" applyAlignment="1">
      <alignment vertical="center"/>
    </xf>
    <xf numFmtId="10" fontId="25" fillId="0" borderId="9" xfId="2" applyNumberFormat="1" applyFont="1" applyBorder="1" applyAlignment="1">
      <alignment vertical="center"/>
    </xf>
    <xf numFmtId="10" fontId="25" fillId="0" borderId="4" xfId="2" applyNumberFormat="1" applyFont="1" applyBorder="1" applyAlignment="1">
      <alignment vertical="center"/>
    </xf>
    <xf numFmtId="10" fontId="25" fillId="0" borderId="9" xfId="2" applyNumberFormat="1" applyFont="1" applyFill="1" applyBorder="1" applyAlignment="1">
      <alignment vertical="center"/>
    </xf>
    <xf numFmtId="10" fontId="25" fillId="0" borderId="6" xfId="2" applyNumberFormat="1" applyFont="1" applyFill="1" applyBorder="1" applyAlignment="1">
      <alignment vertical="center"/>
    </xf>
    <xf numFmtId="0" fontId="25" fillId="0" borderId="5" xfId="0" applyFont="1" applyBorder="1"/>
    <xf numFmtId="165" fontId="25" fillId="0" borderId="0" xfId="0" applyNumberFormat="1" applyFont="1" applyAlignment="1">
      <alignment vertical="center"/>
    </xf>
    <xf numFmtId="164" fontId="25" fillId="0" borderId="5" xfId="1" applyFont="1" applyBorder="1" applyAlignment="1">
      <alignment vertical="center"/>
    </xf>
    <xf numFmtId="10" fontId="26" fillId="2" borderId="10" xfId="1" applyNumberFormat="1" applyFont="1" applyFill="1" applyBorder="1" applyAlignment="1">
      <alignment vertical="center"/>
    </xf>
    <xf numFmtId="10" fontId="26" fillId="2" borderId="10" xfId="2" applyNumberFormat="1" applyFont="1" applyFill="1" applyBorder="1" applyAlignment="1">
      <alignment vertical="center"/>
    </xf>
    <xf numFmtId="10" fontId="26" fillId="2" borderId="11" xfId="2" applyNumberFormat="1" applyFont="1" applyFill="1" applyBorder="1" applyAlignment="1">
      <alignment vertical="center"/>
    </xf>
    <xf numFmtId="10" fontId="26" fillId="2" borderId="12" xfId="2" applyNumberFormat="1" applyFont="1" applyFill="1" applyBorder="1" applyAlignment="1">
      <alignment vertical="center"/>
    </xf>
    <xf numFmtId="165" fontId="33" fillId="0" borderId="5" xfId="2" applyNumberFormat="1" applyFont="1" applyBorder="1" applyAlignment="1">
      <alignment horizontal="right" vertical="center"/>
    </xf>
    <xf numFmtId="165" fontId="33" fillId="0" borderId="0" xfId="2" applyNumberFormat="1" applyFont="1" applyBorder="1" applyAlignment="1">
      <alignment horizontal="right" vertical="center"/>
    </xf>
    <xf numFmtId="165" fontId="33" fillId="0" borderId="6" xfId="2" applyNumberFormat="1" applyFont="1" applyBorder="1" applyAlignment="1">
      <alignment horizontal="right" vertical="center"/>
    </xf>
    <xf numFmtId="9" fontId="33" fillId="0" borderId="6" xfId="2" applyFont="1" applyBorder="1" applyAlignment="1">
      <alignment horizontal="right" vertical="center"/>
    </xf>
    <xf numFmtId="167" fontId="33" fillId="0" borderId="6" xfId="1" applyNumberFormat="1" applyFont="1" applyBorder="1" applyAlignment="1">
      <alignment horizontal="right" vertical="center"/>
    </xf>
    <xf numFmtId="167" fontId="33" fillId="0" borderId="5" xfId="1" applyNumberFormat="1" applyFont="1" applyBorder="1" applyAlignment="1">
      <alignment horizontal="right" vertical="center"/>
    </xf>
    <xf numFmtId="167" fontId="33" fillId="0" borderId="0" xfId="1" applyNumberFormat="1" applyFont="1" applyBorder="1" applyAlignment="1">
      <alignment horizontal="right" vertical="center"/>
    </xf>
    <xf numFmtId="166" fontId="29" fillId="3" borderId="0" xfId="1" applyNumberFormat="1" applyFont="1" applyFill="1" applyAlignment="1">
      <alignment horizontal="center" vertical="center"/>
    </xf>
    <xf numFmtId="9" fontId="26" fillId="2" borderId="2" xfId="2" applyFont="1" applyFill="1" applyBorder="1" applyAlignment="1">
      <alignment vertical="center"/>
    </xf>
    <xf numFmtId="9" fontId="26" fillId="2" borderId="10" xfId="2" applyFont="1" applyFill="1" applyBorder="1" applyAlignment="1">
      <alignment vertical="center"/>
    </xf>
    <xf numFmtId="9" fontId="26" fillId="2" borderId="11" xfId="2" applyFont="1" applyFill="1" applyBorder="1" applyAlignment="1">
      <alignment vertical="center"/>
    </xf>
    <xf numFmtId="9" fontId="26" fillId="2" borderId="12" xfId="2" applyFont="1" applyFill="1" applyBorder="1" applyAlignment="1">
      <alignment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166" fontId="26" fillId="2" borderId="12" xfId="0" applyNumberFormat="1" applyFont="1" applyFill="1" applyBorder="1" applyAlignment="1">
      <alignment horizontal="center" vertical="center"/>
    </xf>
    <xf numFmtId="166" fontId="26" fillId="0" borderId="5" xfId="1" applyNumberFormat="1" applyFont="1" applyBorder="1" applyAlignment="1">
      <alignment vertical="center"/>
    </xf>
    <xf numFmtId="164" fontId="26" fillId="2" borderId="5" xfId="1" applyFont="1" applyFill="1" applyBorder="1" applyAlignment="1">
      <alignment vertical="center"/>
    </xf>
    <xf numFmtId="164" fontId="26" fillId="2" borderId="0" xfId="1" applyFont="1" applyFill="1" applyBorder="1" applyAlignment="1">
      <alignment vertical="center"/>
    </xf>
    <xf numFmtId="164" fontId="26" fillId="2" borderId="6" xfId="1" applyFont="1" applyFill="1" applyBorder="1" applyAlignment="1">
      <alignment vertical="center"/>
    </xf>
    <xf numFmtId="166" fontId="25" fillId="0" borderId="5" xfId="1" applyNumberFormat="1" applyFont="1" applyBorder="1" applyAlignment="1">
      <alignment horizontal="right" vertical="center"/>
    </xf>
    <xf numFmtId="10" fontId="33" fillId="0" borderId="5" xfId="2" applyNumberFormat="1" applyFont="1" applyFill="1" applyBorder="1" applyAlignment="1">
      <alignment horizontal="right" vertical="center"/>
    </xf>
    <xf numFmtId="166" fontId="33" fillId="0" borderId="0" xfId="1" applyNumberFormat="1" applyFont="1" applyBorder="1" applyAlignment="1">
      <alignment horizontal="left" vertical="center"/>
    </xf>
    <xf numFmtId="166" fontId="33" fillId="0" borderId="6" xfId="1" applyNumberFormat="1" applyFont="1" applyBorder="1" applyAlignment="1">
      <alignment horizontal="left" vertical="center"/>
    </xf>
    <xf numFmtId="168" fontId="33" fillId="0" borderId="5" xfId="6" applyNumberFormat="1" applyFont="1" applyBorder="1" applyAlignment="1">
      <alignment horizontal="right" vertical="center"/>
    </xf>
    <xf numFmtId="168" fontId="33" fillId="0" borderId="0" xfId="6" applyNumberFormat="1" applyFont="1" applyBorder="1" applyAlignment="1">
      <alignment horizontal="right" vertical="center"/>
    </xf>
    <xf numFmtId="168" fontId="33" fillId="0" borderId="6" xfId="6" applyNumberFormat="1" applyFont="1" applyBorder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164" fontId="29" fillId="3" borderId="1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6" fillId="2" borderId="10" xfId="1" applyFont="1" applyFill="1" applyBorder="1" applyAlignment="1">
      <alignment vertical="center"/>
    </xf>
    <xf numFmtId="0" fontId="25" fillId="2" borderId="10" xfId="0" applyFont="1" applyFill="1" applyBorder="1" applyAlignment="1">
      <alignment horizontal="right" vertical="center"/>
    </xf>
    <xf numFmtId="0" fontId="25" fillId="2" borderId="11" xfId="0" applyFont="1" applyFill="1" applyBorder="1" applyAlignment="1">
      <alignment horizontal="right" vertical="center"/>
    </xf>
    <xf numFmtId="0" fontId="25" fillId="2" borderId="12" xfId="0" applyFont="1" applyFill="1" applyBorder="1" applyAlignment="1">
      <alignment horizontal="right" vertical="center"/>
    </xf>
    <xf numFmtId="10" fontId="25" fillId="0" borderId="5" xfId="2" applyNumberFormat="1" applyFont="1" applyBorder="1" applyAlignment="1">
      <alignment horizontal="right" vertical="center"/>
    </xf>
    <xf numFmtId="10" fontId="25" fillId="0" borderId="0" xfId="2" applyNumberFormat="1" applyFont="1" applyBorder="1" applyAlignment="1">
      <alignment horizontal="right" vertical="center"/>
    </xf>
    <xf numFmtId="10" fontId="25" fillId="0" borderId="6" xfId="2" applyNumberFormat="1" applyFont="1" applyBorder="1" applyAlignment="1">
      <alignment horizontal="right" vertical="center"/>
    </xf>
    <xf numFmtId="10" fontId="26" fillId="2" borderId="10" xfId="2" applyNumberFormat="1" applyFont="1" applyFill="1" applyBorder="1" applyAlignment="1">
      <alignment horizontal="right" vertical="center"/>
    </xf>
    <xf numFmtId="10" fontId="26" fillId="2" borderId="11" xfId="2" applyNumberFormat="1" applyFont="1" applyFill="1" applyBorder="1" applyAlignment="1">
      <alignment horizontal="right" vertical="center"/>
    </xf>
    <xf numFmtId="10" fontId="26" fillId="2" borderId="12" xfId="2" applyNumberFormat="1" applyFont="1" applyFill="1" applyBorder="1" applyAlignment="1">
      <alignment horizontal="right" vertical="center"/>
    </xf>
    <xf numFmtId="165" fontId="25" fillId="0" borderId="0" xfId="2" applyNumberFormat="1" applyFont="1" applyAlignment="1">
      <alignment horizontal="right" vertical="center"/>
    </xf>
    <xf numFmtId="165" fontId="25" fillId="0" borderId="0" xfId="2" applyNumberFormat="1" applyFont="1" applyBorder="1" applyAlignment="1">
      <alignment horizontal="right" vertical="center"/>
    </xf>
    <xf numFmtId="165" fontId="25" fillId="0" borderId="12" xfId="2" applyNumberFormat="1" applyFont="1" applyBorder="1" applyAlignment="1">
      <alignment horizontal="right" vertical="center"/>
    </xf>
    <xf numFmtId="10" fontId="25" fillId="2" borderId="11" xfId="2" applyNumberFormat="1" applyFont="1" applyFill="1" applyBorder="1" applyAlignment="1">
      <alignment horizontal="right" vertical="center"/>
    </xf>
    <xf numFmtId="10" fontId="25" fillId="2" borderId="12" xfId="2" applyNumberFormat="1" applyFont="1" applyFill="1" applyBorder="1" applyAlignment="1">
      <alignment horizontal="right" vertical="center"/>
    </xf>
    <xf numFmtId="10" fontId="25" fillId="0" borderId="3" xfId="2" applyNumberFormat="1" applyFont="1" applyBorder="1" applyAlignment="1">
      <alignment horizontal="right" vertical="center"/>
    </xf>
    <xf numFmtId="10" fontId="25" fillId="0" borderId="9" xfId="2" applyNumberFormat="1" applyFont="1" applyBorder="1" applyAlignment="1">
      <alignment horizontal="right" vertical="center"/>
    </xf>
    <xf numFmtId="10" fontId="25" fillId="0" borderId="4" xfId="2" applyNumberFormat="1" applyFont="1" applyBorder="1" applyAlignment="1">
      <alignment horizontal="right" vertical="center"/>
    </xf>
    <xf numFmtId="10" fontId="25" fillId="0" borderId="0" xfId="2" applyNumberFormat="1" applyFont="1" applyAlignment="1">
      <alignment horizontal="right" vertical="center"/>
    </xf>
    <xf numFmtId="173" fontId="26" fillId="2" borderId="10" xfId="1" applyNumberFormat="1" applyFont="1" applyFill="1" applyBorder="1" applyAlignment="1">
      <alignment vertical="center"/>
    </xf>
    <xf numFmtId="10" fontId="26" fillId="2" borderId="10" xfId="0" applyNumberFormat="1" applyFont="1" applyFill="1" applyBorder="1" applyAlignment="1">
      <alignment horizontal="right" vertical="center"/>
    </xf>
    <xf numFmtId="10" fontId="26" fillId="2" borderId="11" xfId="0" applyNumberFormat="1" applyFont="1" applyFill="1" applyBorder="1" applyAlignment="1">
      <alignment horizontal="right" vertical="center"/>
    </xf>
    <xf numFmtId="10" fontId="26" fillId="2" borderId="12" xfId="0" applyNumberFormat="1" applyFont="1" applyFill="1" applyBorder="1" applyAlignment="1">
      <alignment horizontal="right" vertical="center"/>
    </xf>
    <xf numFmtId="164" fontId="26" fillId="0" borderId="5" xfId="1" applyFont="1" applyBorder="1" applyAlignment="1">
      <alignment vertical="center"/>
    </xf>
    <xf numFmtId="10" fontId="26" fillId="0" borderId="5" xfId="2" applyNumberFormat="1" applyFont="1" applyBorder="1" applyAlignment="1">
      <alignment horizontal="right" vertical="center"/>
    </xf>
    <xf numFmtId="10" fontId="26" fillId="0" borderId="0" xfId="2" applyNumberFormat="1" applyFont="1" applyBorder="1" applyAlignment="1">
      <alignment horizontal="right" vertical="center"/>
    </xf>
    <xf numFmtId="10" fontId="26" fillId="0" borderId="6" xfId="2" applyNumberFormat="1" applyFont="1" applyBorder="1" applyAlignment="1">
      <alignment horizontal="right" vertical="center"/>
    </xf>
    <xf numFmtId="164" fontId="25" fillId="0" borderId="5" xfId="1" applyFont="1" applyBorder="1" applyAlignment="1">
      <alignment horizontal="right" vertical="center"/>
    </xf>
    <xf numFmtId="164" fontId="25" fillId="0" borderId="0" xfId="1" applyFont="1" applyBorder="1" applyAlignment="1">
      <alignment horizontal="right" vertical="center"/>
    </xf>
    <xf numFmtId="164" fontId="25" fillId="0" borderId="6" xfId="1" applyFont="1" applyBorder="1" applyAlignment="1">
      <alignment horizontal="right" vertical="center"/>
    </xf>
    <xf numFmtId="164" fontId="25" fillId="0" borderId="6" xfId="11" applyFont="1" applyBorder="1" applyAlignment="1">
      <alignment horizontal="right" vertical="center"/>
    </xf>
    <xf numFmtId="164" fontId="26" fillId="0" borderId="0" xfId="1" applyFont="1" applyAlignment="1">
      <alignment vertical="center"/>
    </xf>
    <xf numFmtId="165" fontId="26" fillId="0" borderId="10" xfId="2" applyNumberFormat="1" applyFont="1" applyBorder="1" applyAlignment="1">
      <alignment horizontal="right" vertical="center"/>
    </xf>
    <xf numFmtId="165" fontId="26" fillId="0" borderId="11" xfId="2" applyNumberFormat="1" applyFont="1" applyBorder="1" applyAlignment="1">
      <alignment horizontal="right" vertical="center"/>
    </xf>
    <xf numFmtId="165" fontId="26" fillId="0" borderId="12" xfId="2" applyNumberFormat="1" applyFont="1" applyBorder="1" applyAlignment="1">
      <alignment horizontal="right" vertical="center"/>
    </xf>
    <xf numFmtId="165" fontId="26" fillId="0" borderId="0" xfId="2" applyNumberFormat="1" applyFont="1" applyAlignment="1">
      <alignment horizontal="right" vertical="center"/>
    </xf>
    <xf numFmtId="165" fontId="26" fillId="0" borderId="0" xfId="2" applyNumberFormat="1" applyFont="1" applyBorder="1" applyAlignment="1">
      <alignment horizontal="right" vertical="center"/>
    </xf>
    <xf numFmtId="10" fontId="26" fillId="0" borderId="12" xfId="2" applyNumberFormat="1" applyFont="1" applyBorder="1" applyAlignment="1">
      <alignment horizontal="right" vertical="center"/>
    </xf>
    <xf numFmtId="165" fontId="25" fillId="0" borderId="3" xfId="2" applyNumberFormat="1" applyFont="1" applyBorder="1" applyAlignment="1">
      <alignment horizontal="right" vertical="center"/>
    </xf>
    <xf numFmtId="165" fontId="25" fillId="0" borderId="9" xfId="2" applyNumberFormat="1" applyFont="1" applyBorder="1" applyAlignment="1">
      <alignment horizontal="right" vertical="center"/>
    </xf>
    <xf numFmtId="165" fontId="25" fillId="0" borderId="4" xfId="2" applyNumberFormat="1" applyFont="1" applyBorder="1" applyAlignment="1">
      <alignment horizontal="right" vertical="center"/>
    </xf>
    <xf numFmtId="164" fontId="31" fillId="0" borderId="14" xfId="1" applyFont="1" applyBorder="1" applyAlignment="1">
      <alignment vertical="center"/>
    </xf>
    <xf numFmtId="165" fontId="31" fillId="0" borderId="5" xfId="2" applyNumberFormat="1" applyFont="1" applyBorder="1" applyAlignment="1">
      <alignment horizontal="right" vertical="center"/>
    </xf>
    <xf numFmtId="165" fontId="31" fillId="0" borderId="0" xfId="2" applyNumberFormat="1" applyFont="1" applyBorder="1" applyAlignment="1">
      <alignment horizontal="right" vertical="center"/>
    </xf>
    <xf numFmtId="165" fontId="31" fillId="0" borderId="6" xfId="2" applyNumberFormat="1" applyFont="1" applyBorder="1" applyAlignment="1">
      <alignment horizontal="right" vertical="center"/>
    </xf>
    <xf numFmtId="165" fontId="25" fillId="0" borderId="5" xfId="2" applyNumberFormat="1" applyFont="1" applyFill="1" applyBorder="1" applyAlignment="1">
      <alignment horizontal="right" vertical="center"/>
    </xf>
    <xf numFmtId="165" fontId="25" fillId="0" borderId="5" xfId="2" applyNumberFormat="1" applyFont="1" applyBorder="1" applyAlignment="1">
      <alignment horizontal="right" vertical="center"/>
    </xf>
    <xf numFmtId="166" fontId="25" fillId="0" borderId="7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0" borderId="8" xfId="1" applyNumberFormat="1" applyFont="1" applyBorder="1" applyAlignment="1">
      <alignment horizontal="right" vertical="center"/>
    </xf>
    <xf numFmtId="166" fontId="25" fillId="0" borderId="0" xfId="1" applyNumberFormat="1" applyFont="1" applyBorder="1" applyAlignment="1">
      <alignment horizontal="right" vertical="center"/>
    </xf>
    <xf numFmtId="166" fontId="25" fillId="0" borderId="6" xfId="11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5" fillId="0" borderId="10" xfId="0" applyNumberFormat="1" applyFont="1" applyBorder="1" applyAlignment="1">
      <alignment horizontal="right" vertical="center"/>
    </xf>
    <xf numFmtId="10" fontId="25" fillId="0" borderId="11" xfId="2" applyNumberFormat="1" applyFont="1" applyBorder="1" applyAlignment="1">
      <alignment horizontal="right" vertical="center"/>
    </xf>
    <xf numFmtId="10" fontId="25" fillId="0" borderId="12" xfId="2" applyNumberFormat="1" applyFont="1" applyBorder="1" applyAlignment="1">
      <alignment horizontal="right" vertical="center"/>
    </xf>
    <xf numFmtId="166" fontId="25" fillId="0" borderId="3" xfId="6" applyNumberFormat="1" applyFont="1" applyBorder="1" applyAlignment="1">
      <alignment horizontal="right" vertical="center"/>
    </xf>
    <xf numFmtId="166" fontId="25" fillId="0" borderId="9" xfId="6" applyNumberFormat="1" applyFont="1" applyBorder="1" applyAlignment="1">
      <alignment horizontal="right" vertical="center"/>
    </xf>
    <xf numFmtId="166" fontId="25" fillId="0" borderId="4" xfId="6" applyNumberFormat="1" applyFont="1" applyBorder="1" applyAlignment="1">
      <alignment horizontal="right" vertical="center"/>
    </xf>
    <xf numFmtId="166" fontId="25" fillId="0" borderId="4" xfId="8" applyNumberFormat="1" applyFont="1" applyBorder="1" applyAlignment="1">
      <alignment horizontal="right" vertical="center"/>
    </xf>
    <xf numFmtId="166" fontId="25" fillId="0" borderId="5" xfId="6" applyNumberFormat="1" applyFont="1" applyBorder="1" applyAlignment="1">
      <alignment horizontal="right" vertical="center"/>
    </xf>
    <xf numFmtId="166" fontId="25" fillId="0" borderId="6" xfId="6" applyNumberFormat="1" applyFont="1" applyBorder="1" applyAlignment="1">
      <alignment horizontal="right" vertical="center"/>
    </xf>
    <xf numFmtId="166" fontId="25" fillId="0" borderId="6" xfId="8" applyNumberFormat="1" applyFont="1" applyBorder="1" applyAlignment="1">
      <alignment horizontal="right" vertical="center"/>
    </xf>
    <xf numFmtId="166" fontId="25" fillId="0" borderId="7" xfId="6" applyNumberFormat="1" applyFont="1" applyBorder="1" applyAlignment="1">
      <alignment horizontal="right" vertical="center"/>
    </xf>
    <xf numFmtId="166" fontId="25" fillId="0" borderId="1" xfId="6" applyNumberFormat="1" applyFont="1" applyBorder="1" applyAlignment="1">
      <alignment horizontal="right" vertical="center"/>
    </xf>
    <xf numFmtId="166" fontId="25" fillId="0" borderId="8" xfId="6" applyNumberFormat="1" applyFont="1" applyBorder="1" applyAlignment="1">
      <alignment horizontal="right" vertical="center"/>
    </xf>
    <xf numFmtId="166" fontId="25" fillId="0" borderId="8" xfId="8" applyNumberFormat="1" applyFont="1" applyBorder="1" applyAlignment="1">
      <alignment horizontal="right" vertical="center"/>
    </xf>
    <xf numFmtId="166" fontId="25" fillId="0" borderId="0" xfId="1" applyNumberFormat="1" applyFont="1" applyBorder="1"/>
    <xf numFmtId="164" fontId="29" fillId="3" borderId="2" xfId="1" applyFont="1" applyFill="1" applyBorder="1" applyAlignment="1">
      <alignment horizontal="left" vertical="center"/>
    </xf>
    <xf numFmtId="164" fontId="26" fillId="2" borderId="14" xfId="1" applyFont="1" applyFill="1" applyBorder="1" applyAlignment="1">
      <alignment vertical="center"/>
    </xf>
    <xf numFmtId="166" fontId="25" fillId="2" borderId="5" xfId="1" applyNumberFormat="1" applyFont="1" applyFill="1" applyBorder="1" applyAlignment="1">
      <alignment horizontal="right" vertical="center" wrapText="1"/>
    </xf>
    <xf numFmtId="166" fontId="25" fillId="2" borderId="0" xfId="1" applyNumberFormat="1" applyFont="1" applyFill="1" applyBorder="1" applyAlignment="1">
      <alignment horizontal="right" vertical="center" wrapText="1"/>
    </xf>
    <xf numFmtId="166" fontId="25" fillId="2" borderId="6" xfId="1" applyNumberFormat="1" applyFont="1" applyFill="1" applyBorder="1" applyAlignment="1">
      <alignment horizontal="right" vertical="center" wrapText="1"/>
    </xf>
    <xf numFmtId="166" fontId="25" fillId="0" borderId="5" xfId="1" applyNumberFormat="1" applyFont="1" applyFill="1" applyBorder="1" applyAlignment="1">
      <alignment horizontal="right" vertical="center" wrapText="1"/>
    </xf>
    <xf numFmtId="166" fontId="25" fillId="0" borderId="0" xfId="1" applyNumberFormat="1" applyFont="1" applyFill="1" applyBorder="1" applyAlignment="1">
      <alignment horizontal="right" vertical="center" wrapText="1"/>
    </xf>
    <xf numFmtId="166" fontId="25" fillId="0" borderId="6" xfId="1" applyNumberFormat="1" applyFont="1" applyBorder="1" applyAlignment="1">
      <alignment horizontal="right" vertical="center" wrapText="1"/>
    </xf>
    <xf numFmtId="166" fontId="25" fillId="0" borderId="0" xfId="1" applyNumberFormat="1" applyFont="1" applyBorder="1" applyAlignment="1">
      <alignment horizontal="right" vertical="center" wrapText="1"/>
    </xf>
    <xf numFmtId="166" fontId="25" fillId="0" borderId="5" xfId="1" applyNumberFormat="1" applyFont="1" applyBorder="1" applyAlignment="1">
      <alignment horizontal="right" vertical="center" wrapText="1"/>
    </xf>
    <xf numFmtId="166" fontId="25" fillId="0" borderId="8" xfId="1" applyNumberFormat="1" applyFont="1" applyBorder="1" applyAlignment="1">
      <alignment horizontal="right" vertical="center" wrapText="1"/>
    </xf>
    <xf numFmtId="166" fontId="26" fillId="2" borderId="10" xfId="1" applyNumberFormat="1" applyFont="1" applyFill="1" applyBorder="1" applyAlignment="1">
      <alignment horizontal="right" vertical="center" wrapText="1"/>
    </xf>
    <xf numFmtId="166" fontId="26" fillId="2" borderId="11" xfId="1" applyNumberFormat="1" applyFont="1" applyFill="1" applyBorder="1" applyAlignment="1">
      <alignment horizontal="right" vertical="center" wrapText="1"/>
    </xf>
    <xf numFmtId="166" fontId="26" fillId="2" borderId="12" xfId="1" applyNumberFormat="1" applyFont="1" applyFill="1" applyBorder="1" applyAlignment="1">
      <alignment horizontal="right" vertical="center" wrapText="1"/>
    </xf>
    <xf numFmtId="164" fontId="25" fillId="0" borderId="2" xfId="1" applyFont="1" applyBorder="1" applyAlignment="1">
      <alignment vertical="center"/>
    </xf>
    <xf numFmtId="3" fontId="25" fillId="0" borderId="10" xfId="0" applyNumberFormat="1" applyFont="1" applyBorder="1" applyAlignment="1">
      <alignment horizontal="right" vertical="center" wrapText="1"/>
    </xf>
    <xf numFmtId="3" fontId="25" fillId="0" borderId="11" xfId="0" applyNumberFormat="1" applyFont="1" applyBorder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164" fontId="31" fillId="0" borderId="2" xfId="1" applyFont="1" applyBorder="1" applyAlignment="1">
      <alignment vertical="center"/>
    </xf>
    <xf numFmtId="3" fontId="31" fillId="0" borderId="10" xfId="0" applyNumberFormat="1" applyFont="1" applyBorder="1" applyAlignment="1">
      <alignment horizontal="right" vertical="center" wrapText="1"/>
    </xf>
    <xf numFmtId="3" fontId="31" fillId="0" borderId="11" xfId="0" applyNumberFormat="1" applyFont="1" applyBorder="1" applyAlignment="1">
      <alignment horizontal="right" vertical="center" wrapText="1"/>
    </xf>
    <xf numFmtId="3" fontId="31" fillId="0" borderId="12" xfId="0" applyNumberFormat="1" applyFont="1" applyBorder="1" applyAlignment="1">
      <alignment horizontal="right" vertical="center" wrapText="1"/>
    </xf>
    <xf numFmtId="166" fontId="26" fillId="0" borderId="0" xfId="1" applyNumberFormat="1" applyFont="1" applyFill="1" applyAlignment="1">
      <alignment horizontal="right" vertical="center" wrapText="1"/>
    </xf>
    <xf numFmtId="166" fontId="25" fillId="2" borderId="11" xfId="1" applyNumberFormat="1" applyFont="1" applyFill="1" applyBorder="1" applyAlignment="1">
      <alignment horizontal="right" vertical="center" wrapText="1"/>
    </xf>
    <xf numFmtId="166" fontId="25" fillId="2" borderId="10" xfId="1" applyNumberFormat="1" applyFont="1" applyFill="1" applyBorder="1" applyAlignment="1">
      <alignment horizontal="right" vertical="center" wrapText="1"/>
    </xf>
    <xf numFmtId="166" fontId="25" fillId="2" borderId="12" xfId="1" applyNumberFormat="1" applyFont="1" applyFill="1" applyBorder="1" applyAlignment="1">
      <alignment horizontal="right" vertical="center" wrapText="1"/>
    </xf>
    <xf numFmtId="165" fontId="25" fillId="0" borderId="3" xfId="2" applyNumberFormat="1" applyFont="1" applyFill="1" applyBorder="1" applyAlignment="1">
      <alignment horizontal="right" vertical="center" wrapText="1"/>
    </xf>
    <xf numFmtId="165" fontId="25" fillId="0" borderId="9" xfId="2" applyNumberFormat="1" applyFont="1" applyFill="1" applyBorder="1" applyAlignment="1">
      <alignment horizontal="right" vertical="center" wrapText="1"/>
    </xf>
    <xf numFmtId="165" fontId="25" fillId="0" borderId="4" xfId="2" applyNumberFormat="1" applyFont="1" applyFill="1" applyBorder="1" applyAlignment="1">
      <alignment horizontal="right" vertical="center" wrapText="1"/>
    </xf>
    <xf numFmtId="165" fontId="25" fillId="0" borderId="5" xfId="2" applyNumberFormat="1" applyFont="1" applyFill="1" applyBorder="1" applyAlignment="1">
      <alignment horizontal="right" vertical="center" wrapText="1"/>
    </xf>
    <xf numFmtId="165" fontId="25" fillId="0" borderId="0" xfId="2" applyNumberFormat="1" applyFont="1" applyFill="1" applyBorder="1" applyAlignment="1">
      <alignment horizontal="right" vertical="center" wrapText="1"/>
    </xf>
    <xf numFmtId="165" fontId="25" fillId="0" borderId="6" xfId="2" applyNumberFormat="1" applyFont="1" applyFill="1" applyBorder="1" applyAlignment="1">
      <alignment horizontal="right" vertical="center" wrapText="1"/>
    </xf>
    <xf numFmtId="166" fontId="25" fillId="0" borderId="6" xfId="1" applyNumberFormat="1" applyFont="1" applyFill="1" applyBorder="1" applyAlignment="1">
      <alignment horizontal="right" vertical="center" wrapText="1"/>
    </xf>
    <xf numFmtId="9" fontId="26" fillId="2" borderId="10" xfId="2" applyFont="1" applyFill="1" applyBorder="1" applyAlignment="1">
      <alignment horizontal="right" vertical="center" wrapText="1"/>
    </xf>
    <xf numFmtId="9" fontId="26" fillId="2" borderId="11" xfId="2" applyFont="1" applyFill="1" applyBorder="1" applyAlignment="1">
      <alignment horizontal="right" vertical="center" wrapText="1"/>
    </xf>
    <xf numFmtId="9" fontId="26" fillId="2" borderId="12" xfId="2" applyFont="1" applyFill="1" applyBorder="1" applyAlignment="1">
      <alignment horizontal="right" vertical="center" wrapText="1"/>
    </xf>
    <xf numFmtId="165" fontId="26" fillId="2" borderId="12" xfId="2" applyNumberFormat="1" applyFont="1" applyFill="1" applyBorder="1" applyAlignment="1">
      <alignment horizontal="right" vertical="center" wrapText="1"/>
    </xf>
    <xf numFmtId="9" fontId="26" fillId="0" borderId="0" xfId="2" applyFont="1" applyFill="1" applyAlignment="1">
      <alignment horizontal="right" vertical="center" wrapText="1"/>
    </xf>
    <xf numFmtId="164" fontId="25" fillId="0" borderId="13" xfId="1" applyFont="1" applyFill="1" applyBorder="1" applyAlignment="1">
      <alignment vertical="center"/>
    </xf>
    <xf numFmtId="9" fontId="25" fillId="0" borderId="3" xfId="2" applyFont="1" applyFill="1" applyBorder="1" applyAlignment="1">
      <alignment horizontal="right" vertical="center" wrapText="1"/>
    </xf>
    <xf numFmtId="9" fontId="25" fillId="0" borderId="9" xfId="2" applyFont="1" applyFill="1" applyBorder="1" applyAlignment="1">
      <alignment horizontal="right" vertical="center" wrapText="1"/>
    </xf>
    <xf numFmtId="9" fontId="25" fillId="0" borderId="4" xfId="2" applyFont="1" applyFill="1" applyBorder="1" applyAlignment="1">
      <alignment horizontal="right" vertical="center" wrapText="1"/>
    </xf>
    <xf numFmtId="164" fontId="25" fillId="0" borderId="15" xfId="1" applyFont="1" applyFill="1" applyBorder="1" applyAlignment="1">
      <alignment vertical="center"/>
    </xf>
    <xf numFmtId="9" fontId="25" fillId="0" borderId="7" xfId="2" applyFont="1" applyFill="1" applyBorder="1" applyAlignment="1">
      <alignment horizontal="right" vertical="center" wrapText="1"/>
    </xf>
    <xf numFmtId="9" fontId="25" fillId="0" borderId="1" xfId="2" applyFont="1" applyFill="1" applyBorder="1" applyAlignment="1">
      <alignment horizontal="right" vertical="center" wrapText="1"/>
    </xf>
    <xf numFmtId="9" fontId="25" fillId="0" borderId="8" xfId="2" applyFont="1" applyFill="1" applyBorder="1" applyAlignment="1">
      <alignment horizontal="right" vertical="center" wrapText="1"/>
    </xf>
    <xf numFmtId="9" fontId="25" fillId="0" borderId="0" xfId="2" applyFont="1" applyFill="1" applyBorder="1" applyAlignment="1">
      <alignment horizontal="right" vertical="center" wrapText="1"/>
    </xf>
    <xf numFmtId="166" fontId="25" fillId="2" borderId="9" xfId="1" applyNumberFormat="1" applyFont="1" applyFill="1" applyBorder="1" applyAlignment="1">
      <alignment horizontal="right" vertical="center" wrapText="1"/>
    </xf>
    <xf numFmtId="166" fontId="25" fillId="2" borderId="3" xfId="1" applyNumberFormat="1" applyFont="1" applyFill="1" applyBorder="1" applyAlignment="1">
      <alignment horizontal="right" vertical="center" wrapText="1"/>
    </xf>
    <xf numFmtId="3" fontId="31" fillId="0" borderId="3" xfId="0" applyNumberFormat="1" applyFont="1" applyBorder="1" applyAlignment="1">
      <alignment horizontal="right" vertical="center" wrapText="1"/>
    </xf>
    <xf numFmtId="3" fontId="31" fillId="0" borderId="9" xfId="0" applyNumberFormat="1" applyFont="1" applyBorder="1" applyAlignment="1">
      <alignment horizontal="right" vertical="center" wrapText="1"/>
    </xf>
    <xf numFmtId="3" fontId="31" fillId="0" borderId="4" xfId="0" applyNumberFormat="1" applyFont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3" fontId="31" fillId="0" borderId="1" xfId="0" applyNumberFormat="1" applyFont="1" applyBorder="1" applyAlignment="1">
      <alignment horizontal="right" vertical="center" wrapText="1"/>
    </xf>
    <xf numFmtId="3" fontId="31" fillId="0" borderId="8" xfId="0" applyNumberFormat="1" applyFont="1" applyBorder="1" applyAlignment="1">
      <alignment horizontal="right" vertical="center" wrapText="1"/>
    </xf>
    <xf numFmtId="165" fontId="26" fillId="2" borderId="10" xfId="2" applyNumberFormat="1" applyFont="1" applyFill="1" applyBorder="1" applyAlignment="1">
      <alignment horizontal="right" vertical="center" indent="1"/>
    </xf>
    <xf numFmtId="165" fontId="26" fillId="2" borderId="11" xfId="2" applyNumberFormat="1" applyFont="1" applyFill="1" applyBorder="1" applyAlignment="1">
      <alignment horizontal="right" vertical="center"/>
    </xf>
    <xf numFmtId="10" fontId="25" fillId="0" borderId="5" xfId="2" applyNumberFormat="1" applyFont="1" applyFill="1" applyBorder="1" applyAlignment="1">
      <alignment horizontal="right" vertical="center"/>
    </xf>
    <xf numFmtId="167" fontId="26" fillId="0" borderId="0" xfId="1" applyNumberFormat="1" applyFont="1" applyAlignment="1">
      <alignment horizontal="right" vertical="center"/>
    </xf>
    <xf numFmtId="10" fontId="25" fillId="2" borderId="10" xfId="2" applyNumberFormat="1" applyFont="1" applyFill="1" applyBorder="1" applyAlignment="1">
      <alignment horizontal="right" vertical="center"/>
    </xf>
    <xf numFmtId="166" fontId="25" fillId="0" borderId="1" xfId="1" applyNumberFormat="1" applyFont="1" applyFill="1" applyBorder="1" applyAlignment="1">
      <alignment horizontal="right" vertical="center"/>
    </xf>
    <xf numFmtId="166" fontId="25" fillId="2" borderId="5" xfId="1" applyNumberFormat="1" applyFont="1" applyFill="1" applyBorder="1" applyAlignment="1">
      <alignment horizontal="right" vertical="center"/>
    </xf>
    <xf numFmtId="166" fontId="25" fillId="2" borderId="0" xfId="1" applyNumberFormat="1" applyFont="1" applyFill="1" applyBorder="1" applyAlignment="1">
      <alignment horizontal="right" vertical="center"/>
    </xf>
    <xf numFmtId="166" fontId="26" fillId="2" borderId="10" xfId="1" applyNumberFormat="1" applyFont="1" applyFill="1" applyBorder="1" applyAlignment="1">
      <alignment horizontal="right" vertical="center"/>
    </xf>
    <xf numFmtId="166" fontId="26" fillId="2" borderId="11" xfId="1" applyNumberFormat="1" applyFont="1" applyFill="1" applyBorder="1" applyAlignment="1">
      <alignment horizontal="right" vertical="center"/>
    </xf>
    <xf numFmtId="166" fontId="26" fillId="0" borderId="0" xfId="1" applyNumberFormat="1" applyFont="1" applyFill="1" applyAlignment="1">
      <alignment horizontal="right" vertical="center"/>
    </xf>
    <xf numFmtId="165" fontId="25" fillId="0" borderId="9" xfId="2" applyNumberFormat="1" applyFont="1" applyFill="1" applyBorder="1" applyAlignment="1">
      <alignment horizontal="right" vertical="center"/>
    </xf>
    <xf numFmtId="9" fontId="25" fillId="0" borderId="6" xfId="2" applyFont="1" applyFill="1" applyBorder="1" applyAlignment="1">
      <alignment horizontal="right" vertical="center" wrapText="1"/>
    </xf>
    <xf numFmtId="166" fontId="25" fillId="0" borderId="0" xfId="1" applyNumberFormat="1" applyFont="1" applyFill="1" applyBorder="1" applyAlignment="1">
      <alignment horizontal="right" vertical="center"/>
    </xf>
    <xf numFmtId="9" fontId="26" fillId="0" borderId="0" xfId="2" applyFont="1" applyAlignment="1">
      <alignment horizontal="right" vertical="center"/>
    </xf>
    <xf numFmtId="166" fontId="25" fillId="2" borderId="4" xfId="1" applyNumberFormat="1" applyFont="1" applyFill="1" applyBorder="1" applyAlignment="1">
      <alignment horizontal="right" vertical="center" wrapText="1"/>
    </xf>
    <xf numFmtId="164" fontId="7" fillId="3" borderId="13" xfId="1" applyFont="1" applyFill="1" applyBorder="1" applyAlignment="1">
      <alignment horizontal="center" vertical="center"/>
    </xf>
    <xf numFmtId="166" fontId="6" fillId="0" borderId="14" xfId="1" applyNumberFormat="1" applyFont="1" applyBorder="1"/>
    <xf numFmtId="166" fontId="5" fillId="0" borderId="14" xfId="1" applyNumberFormat="1" applyFont="1" applyBorder="1" applyAlignment="1">
      <alignment horizontal="left"/>
    </xf>
    <xf numFmtId="166" fontId="6" fillId="2" borderId="2" xfId="1" applyNumberFormat="1" applyFont="1" applyFill="1" applyBorder="1" applyAlignment="1">
      <alignment horizontal="left"/>
    </xf>
    <xf numFmtId="166" fontId="8" fillId="0" borderId="14" xfId="1" applyNumberFormat="1" applyFont="1" applyBorder="1" applyAlignment="1">
      <alignment horizontal="left"/>
    </xf>
    <xf numFmtId="166" fontId="8" fillId="0" borderId="14" xfId="1" applyNumberFormat="1" applyFont="1" applyBorder="1" applyAlignment="1">
      <alignment horizontal="left" indent="2"/>
    </xf>
    <xf numFmtId="166" fontId="6" fillId="0" borderId="14" xfId="1" applyNumberFormat="1" applyFont="1" applyBorder="1" applyAlignment="1">
      <alignment horizontal="left"/>
    </xf>
    <xf numFmtId="166" fontId="8" fillId="0" borderId="14" xfId="1" applyNumberFormat="1" applyFont="1" applyFill="1" applyBorder="1" applyAlignment="1">
      <alignment horizontal="left" indent="1"/>
    </xf>
    <xf numFmtId="166" fontId="6" fillId="2" borderId="2" xfId="1" applyNumberFormat="1" applyFont="1" applyFill="1" applyBorder="1"/>
    <xf numFmtId="166" fontId="5" fillId="0" borderId="15" xfId="1" applyNumberFormat="1" applyFont="1" applyBorder="1" applyAlignment="1">
      <alignment horizontal="left"/>
    </xf>
    <xf numFmtId="166" fontId="7" fillId="3" borderId="2" xfId="1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9" fontId="8" fillId="0" borderId="3" xfId="2" applyFont="1" applyFill="1" applyBorder="1" applyAlignment="1">
      <alignment horizontal="center" vertical="center" wrapText="1"/>
    </xf>
    <xf numFmtId="9" fontId="8" fillId="0" borderId="9" xfId="2" applyFont="1" applyFill="1" applyBorder="1" applyAlignment="1">
      <alignment horizontal="center" vertical="center" wrapText="1"/>
    </xf>
    <xf numFmtId="9" fontId="8" fillId="0" borderId="4" xfId="2" applyFont="1" applyFill="1" applyBorder="1" applyAlignment="1">
      <alignment horizontal="center" vertical="center" wrapText="1"/>
    </xf>
    <xf numFmtId="9" fontId="8" fillId="0" borderId="7" xfId="2" applyFont="1" applyFill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9" fontId="8" fillId="0" borderId="8" xfId="2" applyFont="1" applyFill="1" applyBorder="1" applyAlignment="1">
      <alignment horizontal="center" vertical="center" wrapText="1"/>
    </xf>
    <xf numFmtId="164" fontId="13" fillId="0" borderId="6" xfId="1" applyFont="1" applyFill="1" applyBorder="1" applyAlignment="1">
      <alignment horizontal="right" vertical="center" wrapText="1"/>
    </xf>
    <xf numFmtId="10" fontId="13" fillId="0" borderId="4" xfId="2" applyNumberFormat="1" applyFont="1" applyFill="1" applyBorder="1" applyAlignment="1">
      <alignment horizontal="right" vertical="center"/>
    </xf>
    <xf numFmtId="166" fontId="26" fillId="0" borderId="14" xfId="1" applyNumberFormat="1" applyFont="1" applyBorder="1"/>
    <xf numFmtId="166" fontId="25" fillId="0" borderId="14" xfId="1" applyNumberFormat="1" applyFont="1" applyBorder="1" applyAlignment="1">
      <alignment horizontal="left"/>
    </xf>
    <xf numFmtId="166" fontId="26" fillId="2" borderId="2" xfId="1" applyNumberFormat="1" applyFont="1" applyFill="1" applyBorder="1" applyAlignment="1">
      <alignment horizontal="left"/>
    </xf>
    <xf numFmtId="166" fontId="31" fillId="0" borderId="14" xfId="1" applyNumberFormat="1" applyFont="1" applyBorder="1" applyAlignment="1">
      <alignment horizontal="left"/>
    </xf>
    <xf numFmtId="166" fontId="31" fillId="0" borderId="14" xfId="1" applyNumberFormat="1" applyFont="1" applyBorder="1" applyAlignment="1">
      <alignment horizontal="left" indent="2"/>
    </xf>
    <xf numFmtId="166" fontId="26" fillId="0" borderId="14" xfId="1" applyNumberFormat="1" applyFont="1" applyBorder="1" applyAlignment="1">
      <alignment horizontal="left"/>
    </xf>
    <xf numFmtId="166" fontId="31" fillId="0" borderId="14" xfId="1" applyNumberFormat="1" applyFont="1" applyFill="1" applyBorder="1" applyAlignment="1">
      <alignment horizontal="left" indent="1"/>
    </xf>
    <xf numFmtId="166" fontId="26" fillId="2" borderId="2" xfId="1" applyNumberFormat="1" applyFont="1" applyFill="1" applyBorder="1"/>
    <xf numFmtId="166" fontId="25" fillId="0" borderId="15" xfId="1" applyNumberFormat="1" applyFont="1" applyBorder="1" applyAlignment="1">
      <alignment horizontal="left"/>
    </xf>
    <xf numFmtId="9" fontId="5" fillId="0" borderId="4" xfId="2" applyFont="1" applyFill="1" applyBorder="1" applyAlignment="1">
      <alignment horizontal="center" vertical="center" wrapText="1"/>
    </xf>
    <xf numFmtId="9" fontId="5" fillId="0" borderId="8" xfId="2" applyFont="1" applyFill="1" applyBorder="1" applyAlignment="1">
      <alignment horizontal="center" vertical="center" wrapText="1"/>
    </xf>
    <xf numFmtId="164" fontId="6" fillId="0" borderId="5" xfId="1" applyFont="1" applyFill="1" applyBorder="1" applyAlignment="1">
      <alignment horizontal="left"/>
    </xf>
    <xf numFmtId="164" fontId="5" fillId="0" borderId="5" xfId="1" applyFont="1" applyBorder="1" applyAlignment="1">
      <alignment horizontal="left" indent="2"/>
    </xf>
    <xf numFmtId="164" fontId="8" fillId="0" borderId="5" xfId="1" applyFont="1" applyBorder="1" applyAlignment="1">
      <alignment horizontal="left" indent="4"/>
    </xf>
    <xf numFmtId="164" fontId="27" fillId="0" borderId="0" xfId="1" applyFont="1" applyAlignment="1">
      <alignment horizontal="center"/>
    </xf>
  </cellXfs>
  <cellStyles count="12">
    <cellStyle name="Comma" xfId="1" builtinId="3"/>
    <cellStyle name="Comma 2" xfId="6" xr:uid="{00000000-0005-0000-0000-000001000000}"/>
    <cellStyle name="Comma 2 2" xfId="8" xr:uid="{00000000-0005-0000-0000-000002000000}"/>
    <cellStyle name="Comma 2 3" xfId="11" xr:uid="{AA6D8286-4804-4588-B7B5-2E0C7A288360}"/>
    <cellStyle name="Comma 3" xfId="4" xr:uid="{00000000-0005-0000-0000-000003000000}"/>
    <cellStyle name="Comma 3 2" xfId="7" xr:uid="{00000000-0005-0000-0000-000004000000}"/>
    <cellStyle name="Comma 4" xfId="10" xr:uid="{2E6A3E38-44F0-494B-8131-9D8EB3B48DA1}"/>
    <cellStyle name="Comma 4 30" xfId="9" xr:uid="{00000000-0005-0000-0000-000005000000}"/>
    <cellStyle name="Hyperlink" xfId="3" builtinId="8"/>
    <cellStyle name="Normal" xfId="0" builtinId="0"/>
    <cellStyle name="Normal 2" xfId="5" xr:uid="{00000000-0005-0000-0000-000008000000}"/>
    <cellStyle name="Percent" xfId="2" builtinId="5"/>
  </cellStyles>
  <dxfs count="0"/>
  <tableStyles count="0" defaultTableStyle="TableStyleMedium2" defaultPivotStyle="PivotStyleLight16"/>
  <colors>
    <mruColors>
      <color rgb="FF293895"/>
      <color rgb="FF1F4E79"/>
      <color rgb="FFD5D6D9"/>
      <color rgb="FFFFC000"/>
      <color rgb="FFEB2131"/>
      <color rgb="FFB4C7E7"/>
      <color rgb="FFFBD3D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35870862053508E-2"/>
          <c:y val="6.4331746031746032E-2"/>
          <c:w val="0.98638442870688725"/>
          <c:h val="0.886455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for Charts'!$A$6:$B$6</c:f>
              <c:strCache>
                <c:ptCount val="2"/>
                <c:pt idx="0">
                  <c:v> AuM </c:v>
                </c:pt>
                <c:pt idx="1">
                  <c:v> -  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Charts'!$C$5:$P$5</c:f>
              <c:strCache>
                <c:ptCount val="14"/>
                <c:pt idx="0">
                  <c:v>FY13</c:v>
                </c:pt>
                <c:pt idx="1">
                  <c:v>FY14</c:v>
                </c:pt>
                <c:pt idx="2">
                  <c:v>FY15</c:v>
                </c:pt>
                <c:pt idx="3">
                  <c:v>FY16</c:v>
                </c:pt>
                <c:pt idx="4">
                  <c:v>FY17</c:v>
                </c:pt>
                <c:pt idx="5">
                  <c:v>FY18</c:v>
                </c:pt>
                <c:pt idx="6">
                  <c:v>FY19</c:v>
                </c:pt>
                <c:pt idx="7">
                  <c:v>FY20</c:v>
                </c:pt>
                <c:pt idx="8">
                  <c:v>FY21</c:v>
                </c:pt>
                <c:pt idx="9">
                  <c:v>FY22</c:v>
                </c:pt>
                <c:pt idx="10">
                  <c:v>FY23</c:v>
                </c:pt>
                <c:pt idx="11">
                  <c:v>FY24</c:v>
                </c:pt>
                <c:pt idx="12">
                  <c:v>FY25</c:v>
                </c:pt>
                <c:pt idx="13">
                  <c:v>FY26</c:v>
                </c:pt>
              </c:strCache>
            </c:strRef>
          </c:cat>
          <c:val>
            <c:numRef>
              <c:f>'Data for Charts'!$C$6:$P$6</c:f>
              <c:numCache>
                <c:formatCode>General</c:formatCode>
                <c:ptCount val="14"/>
                <c:pt idx="0">
                  <c:v>1.8</c:v>
                </c:pt>
                <c:pt idx="1">
                  <c:v>4.0999999999999996</c:v>
                </c:pt>
                <c:pt idx="2">
                  <c:v>8.4</c:v>
                </c:pt>
                <c:pt idx="3">
                  <c:v>16.8</c:v>
                </c:pt>
                <c:pt idx="4">
                  <c:v>26.9</c:v>
                </c:pt>
                <c:pt idx="5">
                  <c:v>40.700000000000003</c:v>
                </c:pt>
                <c:pt idx="6">
                  <c:v>59.4</c:v>
                </c:pt>
                <c:pt idx="7">
                  <c:v>78</c:v>
                </c:pt>
                <c:pt idx="8">
                  <c:v>94.5</c:v>
                </c:pt>
                <c:pt idx="9">
                  <c:v>113.5</c:v>
                </c:pt>
                <c:pt idx="10">
                  <c:v>141.69999999999999</c:v>
                </c:pt>
                <c:pt idx="11">
                  <c:v>173.1</c:v>
                </c:pt>
                <c:pt idx="12" formatCode="_(* #,##0.00_);_(* \(#,##0.00\);_(* &quot;-&quot;??_);_(@_)">
                  <c:v>204.20176000000001</c:v>
                </c:pt>
                <c:pt idx="13">
                  <c:v>234.5171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3-42BB-B1A2-D2DEF79F0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775665343"/>
        <c:axId val="1775663903"/>
      </c:barChart>
      <c:catAx>
        <c:axId val="1775665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663903"/>
        <c:crosses val="autoZero"/>
        <c:auto val="1"/>
        <c:lblAlgn val="ctr"/>
        <c:lblOffset val="100"/>
        <c:noMultiLvlLbl val="0"/>
      </c:catAx>
      <c:valAx>
        <c:axId val="1775663903"/>
        <c:scaling>
          <c:orientation val="minMax"/>
          <c:max val="250"/>
          <c:min val="-25"/>
        </c:scaling>
        <c:delete val="1"/>
        <c:axPos val="l"/>
        <c:numFmt formatCode="General" sourceLinked="1"/>
        <c:majorTickMark val="out"/>
        <c:minorTickMark val="none"/>
        <c:tickLblPos val="nextTo"/>
        <c:crossAx val="1775665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1939567122938E-2"/>
          <c:y val="3.9159676510237634E-2"/>
          <c:w val="0.97371007554109634"/>
          <c:h val="0.86929568801859403"/>
        </c:manualLayout>
      </c:layout>
      <c:lineChart>
        <c:grouping val="standard"/>
        <c:varyColors val="0"/>
        <c:ser>
          <c:idx val="0"/>
          <c:order val="0"/>
          <c:tx>
            <c:strRef>
              <c:f>Operational!$X$64</c:f>
              <c:strCache>
                <c:ptCount val="1"/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38100">
                <a:solidFill>
                  <a:srgbClr val="C00000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5.8939559914230076E-2"/>
                  <c:y val="-0.14654796300700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A7-418F-95E9-075F2CF7ABB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Operational!$Y$63:$AF$63</c:f>
              <c:strCache>
                <c:ptCount val="6"/>
                <c:pt idx="0">
                  <c:v> FY21 </c:v>
                </c:pt>
                <c:pt idx="1">
                  <c:v> FY22 </c:v>
                </c:pt>
                <c:pt idx="2">
                  <c:v> FY23 </c:v>
                </c:pt>
                <c:pt idx="3">
                  <c:v> FY24 </c:v>
                </c:pt>
                <c:pt idx="4">
                  <c:v> FY25 </c:v>
                </c:pt>
                <c:pt idx="5">
                  <c:v> FY26 </c:v>
                </c:pt>
              </c:strCache>
            </c:strRef>
          </c:cat>
          <c:val>
            <c:numRef>
              <c:f>Operational!$Y$64:$AF$64</c:f>
              <c:numCache>
                <c:formatCode>_(* #,##0.0_);_(* \(#,##0.0\);_(* "-"??_);_(@_)</c:formatCode>
                <c:ptCount val="6"/>
                <c:pt idx="0">
                  <c:v>356.7657744449449</c:v>
                </c:pt>
                <c:pt idx="1">
                  <c:v>382.16201967862287</c:v>
                </c:pt>
                <c:pt idx="2">
                  <c:v>429.29278132198482</c:v>
                </c:pt>
                <c:pt idx="3">
                  <c:v>485.62823678355119</c:v>
                </c:pt>
                <c:pt idx="4">
                  <c:v>534.5595811518325</c:v>
                </c:pt>
                <c:pt idx="5">
                  <c:v>563.74302884615383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2-4269-8FCD-9385093EB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173631"/>
        <c:axId val="1325183231"/>
      </c:lineChart>
      <c:catAx>
        <c:axId val="132517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5183231"/>
        <c:crosses val="autoZero"/>
        <c:auto val="1"/>
        <c:lblAlgn val="ctr"/>
        <c:lblOffset val="100"/>
        <c:noMultiLvlLbl val="0"/>
      </c:catAx>
      <c:valAx>
        <c:axId val="1325183231"/>
        <c:scaling>
          <c:orientation val="minMax"/>
          <c:max val="625"/>
          <c:min val="300"/>
        </c:scaling>
        <c:delete val="1"/>
        <c:axPos val="l"/>
        <c:numFmt formatCode="_(* #,##0.0_);_(* \(#,##0.0\);_(* &quot;-&quot;??_);_(@_)" sourceLinked="1"/>
        <c:majorTickMark val="out"/>
        <c:minorTickMark val="none"/>
        <c:tickLblPos val="nextTo"/>
        <c:crossAx val="1325173631"/>
        <c:crosses val="autoZero"/>
        <c:crossBetween val="between"/>
        <c:majorUnit val="100"/>
      </c:valAx>
      <c:spPr>
        <a:noFill/>
        <a:ln w="285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1939567122938E-2"/>
          <c:y val="0.19512456140350878"/>
          <c:w val="0.97371007554109634"/>
          <c:h val="0.6890649122807018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293895"/>
            </a:solidFill>
            <a:ln w="381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Operational!$AA$63:$AF$63</c:f>
              <c:strCache>
                <c:ptCount val="6"/>
                <c:pt idx="0">
                  <c:v> FY21 </c:v>
                </c:pt>
                <c:pt idx="1">
                  <c:v> FY22 </c:v>
                </c:pt>
                <c:pt idx="2">
                  <c:v> FY23 </c:v>
                </c:pt>
                <c:pt idx="3">
                  <c:v> FY24 </c:v>
                </c:pt>
                <c:pt idx="4">
                  <c:v> FY25 </c:v>
                </c:pt>
                <c:pt idx="5">
                  <c:v> FY26 </c:v>
                </c:pt>
              </c:strCache>
            </c:strRef>
          </c:cat>
          <c:val>
            <c:numRef>
              <c:f>Operational!$AA$65:$AF$65</c:f>
              <c:numCache>
                <c:formatCode>_(* #,##0.0_);_(* \(#,##0.0\);_(* "-"??_);_(@_)</c:formatCode>
                <c:ptCount val="6"/>
                <c:pt idx="0">
                  <c:v>23.934919045040608</c:v>
                </c:pt>
                <c:pt idx="1">
                  <c:v>23.750182013925716</c:v>
                </c:pt>
                <c:pt idx="2">
                  <c:v>25.171751570052415</c:v>
                </c:pt>
                <c:pt idx="3">
                  <c:v>28.594676094365511</c:v>
                </c:pt>
                <c:pt idx="4">
                  <c:v>30.688572287345959</c:v>
                </c:pt>
                <c:pt idx="5">
                  <c:v>31.516879451686602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B7-43CE-8818-A8096AB8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706294831"/>
        <c:axId val="706298671"/>
      </c:barChart>
      <c:lineChart>
        <c:grouping val="standard"/>
        <c:varyColors val="0"/>
        <c:ser>
          <c:idx val="0"/>
          <c:order val="1"/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38100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Operational!$AA$63:$AF$63</c:f>
              <c:strCache>
                <c:ptCount val="6"/>
                <c:pt idx="0">
                  <c:v> FY21 </c:v>
                </c:pt>
                <c:pt idx="1">
                  <c:v> FY22 </c:v>
                </c:pt>
                <c:pt idx="2">
                  <c:v> FY23 </c:v>
                </c:pt>
                <c:pt idx="3">
                  <c:v> FY24 </c:v>
                </c:pt>
                <c:pt idx="4">
                  <c:v> FY25 </c:v>
                </c:pt>
                <c:pt idx="5">
                  <c:v> FY26 </c:v>
                </c:pt>
              </c:strCache>
            </c:strRef>
          </c:cat>
          <c:val>
            <c:numRef>
              <c:f>Operational!$AA$67:$AF$67</c:f>
              <c:numCache>
                <c:formatCode>_(* #,##0.0_);_(* \(#,##0.0\);_(* "-"??_);_(@_)</c:formatCode>
                <c:ptCount val="6"/>
                <c:pt idx="0">
                  <c:v>6.7262120551187357</c:v>
                </c:pt>
                <c:pt idx="1">
                  <c:v>7.5376341473111523</c:v>
                </c:pt>
                <c:pt idx="2">
                  <c:v>8.9277560526758926</c:v>
                </c:pt>
                <c:pt idx="3">
                  <c:v>9.2199521017425052</c:v>
                </c:pt>
                <c:pt idx="4">
                  <c:v>9.2019927862939586</c:v>
                </c:pt>
                <c:pt idx="5">
                  <c:v>9.1050772745598714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CA-431E-87F8-AC6D4FEF0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3404063"/>
        <c:axId val="1417094416"/>
      </c:lineChart>
      <c:valAx>
        <c:axId val="706298671"/>
        <c:scaling>
          <c:orientation val="minMax"/>
          <c:max val="45"/>
          <c:min val="15"/>
        </c:scaling>
        <c:delete val="0"/>
        <c:axPos val="r"/>
        <c:numFmt formatCode="_(* #,##0.0_);_(* \(#,##0.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706294831"/>
        <c:crosses val="max"/>
        <c:crossBetween val="between"/>
      </c:valAx>
      <c:catAx>
        <c:axId val="706294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706298671"/>
        <c:crosses val="autoZero"/>
        <c:auto val="1"/>
        <c:lblAlgn val="ctr"/>
        <c:lblOffset val="100"/>
        <c:noMultiLvlLbl val="0"/>
      </c:catAx>
      <c:valAx>
        <c:axId val="1417094416"/>
        <c:scaling>
          <c:orientation val="minMax"/>
          <c:max val="13"/>
          <c:min val="-5"/>
        </c:scaling>
        <c:delete val="0"/>
        <c:axPos val="l"/>
        <c:numFmt formatCode="_(* #,##0.0_);_(* \(#,##0.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583404063"/>
        <c:crosses val="autoZero"/>
        <c:crossBetween val="between"/>
      </c:valAx>
      <c:catAx>
        <c:axId val="158340406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417094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'Data for Charts'!$A$58</c:f>
              <c:strCache>
                <c:ptCount val="1"/>
                <c:pt idx="0">
                  <c:v> Spread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Charts'!$B$55:$I$55</c15:sqref>
                  </c15:fullRef>
                </c:ext>
              </c:extLst>
              <c:f>'Data for Charts'!$D$55:$I$55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Charts'!$B$58:$I$58</c15:sqref>
                  </c15:fullRef>
                </c:ext>
              </c:extLst>
              <c:f>'Data for Charts'!$D$58:$I$58</c:f>
              <c:numCache>
                <c:formatCode>0.0%</c:formatCode>
                <c:ptCount val="6"/>
                <c:pt idx="0">
                  <c:v>5.7599999999999998E-2</c:v>
                </c:pt>
                <c:pt idx="1">
                  <c:v>5.7700000000000001E-2</c:v>
                </c:pt>
                <c:pt idx="2">
                  <c:v>5.510000000000001E-2</c:v>
                </c:pt>
                <c:pt idx="3">
                  <c:v>5.0600000000000006E-2</c:v>
                </c:pt>
                <c:pt idx="4">
                  <c:v>4.8899999999999999E-2</c:v>
                </c:pt>
                <c:pt idx="5">
                  <c:v>5.1999999999999998E-2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A-4804-AC3A-D77AB01C78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98720671"/>
        <c:axId val="1290550943"/>
      </c:barChart>
      <c:lineChart>
        <c:grouping val="standard"/>
        <c:varyColors val="0"/>
        <c:ser>
          <c:idx val="0"/>
          <c:order val="0"/>
          <c:tx>
            <c:strRef>
              <c:f>'Data for Charts'!$A$56</c:f>
              <c:strCache>
                <c:ptCount val="1"/>
                <c:pt idx="0">
                  <c:v> Yield  </c:v>
                </c:pt>
              </c:strCache>
            </c:strRef>
          </c:tx>
          <c:spPr>
            <a:ln w="38100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38100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Charts'!$B$55:$I$55</c15:sqref>
                  </c15:fullRef>
                </c:ext>
              </c:extLst>
              <c:f>'Data for Charts'!$D$55:$I$55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Charts'!$B$56:$I$56</c15:sqref>
                  </c15:fullRef>
                </c:ext>
              </c:extLst>
              <c:f>'Data for Charts'!$D$56:$I$56</c:f>
              <c:numCache>
                <c:formatCode>0.0%</c:formatCode>
                <c:ptCount val="6"/>
                <c:pt idx="0">
                  <c:v>0.13159999999999999</c:v>
                </c:pt>
                <c:pt idx="1">
                  <c:v>0.1265</c:v>
                </c:pt>
                <c:pt idx="2">
                  <c:v>0.13120000000000001</c:v>
                </c:pt>
                <c:pt idx="3">
                  <c:v>0.1313</c:v>
                </c:pt>
                <c:pt idx="4">
                  <c:v>0.1313</c:v>
                </c:pt>
                <c:pt idx="5">
                  <c:v>0.12820000000000001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4A-4804-AC3A-D77AB01C7886}"/>
            </c:ext>
          </c:extLst>
        </c:ser>
        <c:ser>
          <c:idx val="1"/>
          <c:order val="1"/>
          <c:tx>
            <c:strRef>
              <c:f>'Data for Charts'!$A$57</c:f>
              <c:strCache>
                <c:ptCount val="1"/>
                <c:pt idx="0">
                  <c:v> CoB 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38100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Charts'!$B$55:$I$55</c15:sqref>
                  </c15:fullRef>
                </c:ext>
              </c:extLst>
              <c:f>'Data for Charts'!$D$55:$I$55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Charts'!$B$57:$I$57</c15:sqref>
                  </c15:fullRef>
                </c:ext>
              </c:extLst>
              <c:f>'Data for Charts'!$D$57:$I$57</c:f>
              <c:numCache>
                <c:formatCode>0.0%</c:formatCode>
                <c:ptCount val="6"/>
                <c:pt idx="0">
                  <c:v>7.3999999999999996E-2</c:v>
                </c:pt>
                <c:pt idx="1">
                  <c:v>6.88E-2</c:v>
                </c:pt>
                <c:pt idx="2">
                  <c:v>7.6100000000000001E-2</c:v>
                </c:pt>
                <c:pt idx="3">
                  <c:v>8.0699999999999994E-2</c:v>
                </c:pt>
                <c:pt idx="4">
                  <c:v>8.2400000000000001E-2</c:v>
                </c:pt>
                <c:pt idx="5">
                  <c:v>7.6200000000000004E-2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A-4804-AC3A-D77AB01C78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98720671"/>
        <c:axId val="1290550943"/>
      </c:lineChart>
      <c:catAx>
        <c:axId val="1298720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90550943"/>
        <c:crosses val="autoZero"/>
        <c:auto val="1"/>
        <c:lblAlgn val="ctr"/>
        <c:lblOffset val="100"/>
        <c:noMultiLvlLbl val="0"/>
      </c:catAx>
      <c:valAx>
        <c:axId val="12905509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298720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50427350427349E-2"/>
          <c:y val="5.5436507936507937E-2"/>
          <c:w val="0.94029914529914527"/>
          <c:h val="0.7012964285714286"/>
        </c:manualLayout>
      </c:layout>
      <c:lineChart>
        <c:grouping val="standard"/>
        <c:varyColors val="0"/>
        <c:ser>
          <c:idx val="0"/>
          <c:order val="0"/>
          <c:tx>
            <c:strRef>
              <c:f>'Data for Charts'!$A$61</c:f>
              <c:strCache>
                <c:ptCount val="1"/>
                <c:pt idx="0">
                  <c:v> Operating Expenses to Average Total Assets </c:v>
                </c:pt>
              </c:strCache>
            </c:strRef>
          </c:tx>
          <c:spPr>
            <a:ln w="38100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38100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Charts'!$B$60:$I$60</c:f>
              <c:strCache>
                <c:ptCount val="8"/>
                <c:pt idx="0">
                  <c:v>FY19</c:v>
                </c:pt>
                <c:pt idx="1">
                  <c:v>FY20</c:v>
                </c:pt>
                <c:pt idx="2">
                  <c:v>FY21</c:v>
                </c:pt>
                <c:pt idx="3">
                  <c:v>FY22</c:v>
                </c:pt>
                <c:pt idx="4">
                  <c:v>FY23</c:v>
                </c:pt>
                <c:pt idx="5">
                  <c:v>FY24</c:v>
                </c:pt>
                <c:pt idx="6">
                  <c:v>FY25</c:v>
                </c:pt>
                <c:pt idx="7">
                  <c:v>FY26</c:v>
                </c:pt>
              </c:strCache>
            </c:strRef>
          </c:cat>
          <c:val>
            <c:numRef>
              <c:f>'Data for Charts'!$B$61:$I$61</c:f>
              <c:numCache>
                <c:formatCode>0.0%</c:formatCode>
                <c:ptCount val="8"/>
                <c:pt idx="0">
                  <c:v>3.8087267389458938E-2</c:v>
                </c:pt>
                <c:pt idx="1">
                  <c:v>3.3836244100375334E-2</c:v>
                </c:pt>
                <c:pt idx="2">
                  <c:v>3.0142494856793128E-2</c:v>
                </c:pt>
                <c:pt idx="3">
                  <c:v>3.4521773805203888E-2</c:v>
                </c:pt>
                <c:pt idx="4">
                  <c:v>3.6884522891153008E-2</c:v>
                </c:pt>
                <c:pt idx="5">
                  <c:v>3.5780192601668419E-2</c:v>
                </c:pt>
                <c:pt idx="6">
                  <c:v>3.3178326125141017E-2</c:v>
                </c:pt>
                <c:pt idx="7">
                  <c:v>3.5426652003503339E-2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4-4ED1-8F2A-2073FFD5B99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36671023"/>
        <c:axId val="1236669103"/>
      </c:lineChart>
      <c:catAx>
        <c:axId val="1236671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36669103"/>
        <c:crosses val="autoZero"/>
        <c:auto val="1"/>
        <c:lblAlgn val="ctr"/>
        <c:lblOffset val="100"/>
        <c:noMultiLvlLbl val="0"/>
      </c:catAx>
      <c:valAx>
        <c:axId val="1236669103"/>
        <c:scaling>
          <c:orientation val="minMax"/>
          <c:max val="5.000000000000001E-2"/>
          <c:min val="1.5000000000000003E-2"/>
        </c:scaling>
        <c:delete val="1"/>
        <c:axPos val="l"/>
        <c:numFmt formatCode="0.0%" sourceLinked="1"/>
        <c:majorTickMark val="none"/>
        <c:minorTickMark val="none"/>
        <c:tickLblPos val="nextTo"/>
        <c:crossAx val="1236671023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94230769230773E-2"/>
          <c:y val="0.89666944444444441"/>
          <c:w val="0.82861153846153845"/>
          <c:h val="0.103330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000000000000001E-2"/>
          <c:y val="5.0925925925925923E-2"/>
          <c:w val="0.93888888888888888"/>
          <c:h val="0.71561269841269837"/>
        </c:manualLayout>
      </c:layout>
      <c:lineChart>
        <c:grouping val="standard"/>
        <c:varyColors val="0"/>
        <c:ser>
          <c:idx val="1"/>
          <c:order val="0"/>
          <c:tx>
            <c:strRef>
              <c:f>'Data for Charts'!$A$62</c:f>
              <c:strCache>
                <c:ptCount val="1"/>
                <c:pt idx="0">
                  <c:v> Operating expenses / AUM </c:v>
                </c:pt>
              </c:strCache>
            </c:strRef>
          </c:tx>
          <c:spPr>
            <a:ln w="38100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38100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Charts'!$B$60:$I$60</c:f>
              <c:strCache>
                <c:ptCount val="8"/>
                <c:pt idx="0">
                  <c:v>FY19</c:v>
                </c:pt>
                <c:pt idx="1">
                  <c:v>FY20</c:v>
                </c:pt>
                <c:pt idx="2">
                  <c:v>FY21</c:v>
                </c:pt>
                <c:pt idx="3">
                  <c:v>FY22</c:v>
                </c:pt>
                <c:pt idx="4">
                  <c:v>FY23</c:v>
                </c:pt>
                <c:pt idx="5">
                  <c:v>FY24</c:v>
                </c:pt>
                <c:pt idx="6">
                  <c:v>FY25</c:v>
                </c:pt>
                <c:pt idx="7">
                  <c:v>FY26</c:v>
                </c:pt>
              </c:strCache>
            </c:strRef>
          </c:cat>
          <c:val>
            <c:numRef>
              <c:f>'Data for Charts'!$B$62:$I$62</c:f>
              <c:numCache>
                <c:formatCode>0.0%</c:formatCode>
                <c:ptCount val="8"/>
                <c:pt idx="0">
                  <c:v>3.6764908172388214E-2</c:v>
                </c:pt>
                <c:pt idx="1">
                  <c:v>3.2718363899950358E-2</c:v>
                </c:pt>
                <c:pt idx="2">
                  <c:v>2.903584664460861E-2</c:v>
                </c:pt>
                <c:pt idx="3">
                  <c:v>3.3154352130747758E-2</c:v>
                </c:pt>
                <c:pt idx="4">
                  <c:v>3.5314773245566103E-2</c:v>
                </c:pt>
                <c:pt idx="5">
                  <c:v>3.4019191326230359E-2</c:v>
                </c:pt>
                <c:pt idx="6">
                  <c:v>3.0896645007626511E-2</c:v>
                </c:pt>
                <c:pt idx="7">
                  <c:v>3.2163606676978714E-2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A-4015-8467-C04478C7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595519"/>
        <c:axId val="1009594079"/>
      </c:lineChart>
      <c:catAx>
        <c:axId val="1009595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09594079"/>
        <c:crosses val="autoZero"/>
        <c:auto val="1"/>
        <c:lblAlgn val="ctr"/>
        <c:lblOffset val="100"/>
        <c:noMultiLvlLbl val="0"/>
      </c:catAx>
      <c:valAx>
        <c:axId val="1009594079"/>
        <c:scaling>
          <c:orientation val="minMax"/>
          <c:max val="5.000000000000001E-2"/>
          <c:min val="1.5000000000000003E-2"/>
        </c:scaling>
        <c:delete val="1"/>
        <c:axPos val="l"/>
        <c:numFmt formatCode="0.0%" sourceLinked="1"/>
        <c:majorTickMark val="none"/>
        <c:minorTickMark val="none"/>
        <c:tickLblPos val="nextTo"/>
        <c:crossAx val="1009595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24658119658126"/>
          <c:y val="0.89666944444444441"/>
          <c:w val="0.61458079449267478"/>
          <c:h val="9.7837938621619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3.7037037037037035E-2"/>
          <c:w val="0.93888888888888888"/>
          <c:h val="0.68662222222222236"/>
        </c:manualLayout>
      </c:layout>
      <c:lineChart>
        <c:grouping val="standard"/>
        <c:varyColors val="0"/>
        <c:ser>
          <c:idx val="0"/>
          <c:order val="0"/>
          <c:tx>
            <c:strRef>
              <c:f>'Data for Charts'!$A$66</c:f>
              <c:strCache>
                <c:ptCount val="1"/>
                <c:pt idx="0">
                  <c:v> RoA </c:v>
                </c:pt>
              </c:strCache>
            </c:strRef>
          </c:tx>
          <c:spPr>
            <a:ln w="38100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38100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Charts'!$B$65:$I$65</c15:sqref>
                  </c15:fullRef>
                </c:ext>
              </c:extLst>
              <c:f>'Data for Charts'!$D$65:$I$65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Charts'!$B$66:$I$66</c15:sqref>
                  </c15:fullRef>
                </c:ext>
              </c:extLst>
              <c:f>'Data for Charts'!$D$66:$I$66</c:f>
              <c:numCache>
                <c:formatCode>0.0%</c:formatCode>
                <c:ptCount val="6"/>
                <c:pt idx="0">
                  <c:v>3.4943518367474329E-2</c:v>
                </c:pt>
                <c:pt idx="1">
                  <c:v>3.5785812604760527E-2</c:v>
                </c:pt>
                <c:pt idx="2">
                  <c:v>3.5060383763054009E-2</c:v>
                </c:pt>
                <c:pt idx="3">
                  <c:v>3.2802034326768065E-2</c:v>
                </c:pt>
                <c:pt idx="4">
                  <c:v>3.2690874198760697E-2</c:v>
                </c:pt>
                <c:pt idx="5">
                  <c:v>3.2918549272320283E-2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1-4641-B029-15A62B5F9AE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86281967"/>
        <c:axId val="1286283887"/>
      </c:lineChart>
      <c:catAx>
        <c:axId val="128628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86283887"/>
        <c:crosses val="autoZero"/>
        <c:auto val="1"/>
        <c:lblAlgn val="ctr"/>
        <c:lblOffset val="100"/>
        <c:noMultiLvlLbl val="0"/>
      </c:catAx>
      <c:valAx>
        <c:axId val="1286283887"/>
        <c:scaling>
          <c:orientation val="minMax"/>
          <c:max val="5.000000000000001E-2"/>
          <c:min val="2.0000000000000004E-2"/>
        </c:scaling>
        <c:delete val="1"/>
        <c:axPos val="l"/>
        <c:numFmt formatCode="0.0%" sourceLinked="1"/>
        <c:majorTickMark val="none"/>
        <c:minorTickMark val="none"/>
        <c:tickLblPos val="nextTo"/>
        <c:crossAx val="1286281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3.7037037037037035E-2"/>
          <c:w val="0.93888888888888888"/>
          <c:h val="0.69166190476190481"/>
        </c:manualLayout>
      </c:layout>
      <c:lineChart>
        <c:grouping val="standard"/>
        <c:varyColors val="0"/>
        <c:ser>
          <c:idx val="0"/>
          <c:order val="0"/>
          <c:tx>
            <c:strRef>
              <c:f>'Data for Charts'!$A$67</c:f>
              <c:strCache>
                <c:ptCount val="1"/>
                <c:pt idx="0">
                  <c:v> RoE </c:v>
                </c:pt>
              </c:strCache>
            </c:strRef>
          </c:tx>
          <c:spPr>
            <a:ln w="38100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38100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Charts'!$B$65:$I$65</c15:sqref>
                  </c15:fullRef>
                </c:ext>
              </c:extLst>
              <c:f>'Data for Charts'!$D$65:$I$65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Charts'!$B$67:$I$67</c15:sqref>
                  </c15:fullRef>
                </c:ext>
              </c:extLst>
              <c:f>'Data for Charts'!$D$67:$I$67</c:f>
              <c:numCache>
                <c:formatCode>0.0%</c:formatCode>
                <c:ptCount val="6"/>
                <c:pt idx="0">
                  <c:v>0.12905417134585606</c:v>
                </c:pt>
                <c:pt idx="1">
                  <c:v>0.1372378740998757</c:v>
                </c:pt>
                <c:pt idx="2">
                  <c:v>0.14092044792113007</c:v>
                </c:pt>
                <c:pt idx="3">
                  <c:v>0.13939625743972156</c:v>
                </c:pt>
                <c:pt idx="4">
                  <c:v>0.14121818949730414</c:v>
                </c:pt>
                <c:pt idx="5">
                  <c:v>0.13931393984151488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0-433B-96EB-896C7F7D7DB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86281967"/>
        <c:axId val="1286283887"/>
      </c:lineChart>
      <c:catAx>
        <c:axId val="128628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286283887"/>
        <c:crosses val="autoZero"/>
        <c:auto val="1"/>
        <c:lblAlgn val="ctr"/>
        <c:lblOffset val="100"/>
        <c:noMultiLvlLbl val="0"/>
      </c:catAx>
      <c:valAx>
        <c:axId val="1286283887"/>
        <c:scaling>
          <c:orientation val="minMax"/>
          <c:max val="0.16000000000000003"/>
          <c:min val="0.1"/>
        </c:scaling>
        <c:delete val="1"/>
        <c:axPos val="l"/>
        <c:numFmt formatCode="0.0%" sourceLinked="1"/>
        <c:majorTickMark val="out"/>
        <c:minorTickMark val="none"/>
        <c:tickLblPos val="nextTo"/>
        <c:crossAx val="1286281967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39720034995626E-2"/>
          <c:y val="3.0092592592592591E-2"/>
          <c:w val="0.58611111111111114"/>
          <c:h val="0.9699074074074074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9389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1-44C2-8B78-C7A5AAC0312C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F1-44C2-8B78-C7A5AAC031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F1-44C2-8B78-C7A5AAC0312C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1-44C2-8B78-C7A5AAC031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52F-42F8-8D47-B7B8E01B8EB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F1-44C2-8B78-C7A5AAC0312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AF1-44C2-8B78-C7A5AAC0312C}"/>
                </c:ext>
              </c:extLst>
            </c:dLbl>
            <c:dLbl>
              <c:idx val="4"/>
              <c:layout>
                <c:manualLayout>
                  <c:x val="3.3337647102367838E-3"/>
                  <c:y val="-0.14225288222624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F-42F8-8D47-B7B8E01B8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for Charts'!$A$71:$A$75</c:f>
              <c:strCache>
                <c:ptCount val="5"/>
                <c:pt idx="0">
                  <c:v> Term Loans </c:v>
                </c:pt>
                <c:pt idx="1">
                  <c:v> Assignment </c:v>
                </c:pt>
                <c:pt idx="2">
                  <c:v> NHB refinancing </c:v>
                </c:pt>
                <c:pt idx="3">
                  <c:v> NCDs </c:v>
                </c:pt>
                <c:pt idx="4">
                  <c:v> Cash Credit </c:v>
                </c:pt>
              </c:strCache>
            </c:strRef>
          </c:cat>
          <c:val>
            <c:numRef>
              <c:f>'Data for Charts'!$B$71:$B$75</c:f>
              <c:numCache>
                <c:formatCode>0.0%</c:formatCode>
                <c:ptCount val="5"/>
                <c:pt idx="0">
                  <c:v>0.52019767903474201</c:v>
                </c:pt>
                <c:pt idx="1">
                  <c:v>0.27301516595667996</c:v>
                </c:pt>
                <c:pt idx="2">
                  <c:v>0.10702157100932831</c:v>
                </c:pt>
                <c:pt idx="3">
                  <c:v>9.0610120515073458E-2</c:v>
                </c:pt>
                <c:pt idx="4">
                  <c:v>9.1554634841762659E-3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F1-44C2-8B78-C7A5AAC03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397010582010584"/>
          <c:y val="0.14078083989501311"/>
          <c:w val="0.3293632275132275"/>
          <c:h val="0.773993875765529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14529914529914"/>
          <c:y val="0.13305555555555557"/>
          <c:w val="0.55638888888888893"/>
          <c:h val="0.7233055555555555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9389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65-4E19-9B8F-C904095D6656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65-4E19-9B8F-C904095D6656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65-4E19-9B8F-C904095D6656}"/>
              </c:ext>
            </c:extLst>
          </c:dPt>
          <c:dPt>
            <c:idx val="3"/>
            <c:bubble3D val="0"/>
            <c:spPr>
              <a:solidFill>
                <a:srgbClr val="FBD3D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65-4E19-9B8F-C904095D6656}"/>
              </c:ext>
            </c:extLst>
          </c:dPt>
          <c:dPt>
            <c:idx val="4"/>
            <c:bubble3D val="0"/>
            <c:spPr>
              <a:solidFill>
                <a:srgbClr val="B4C7E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65-4E19-9B8F-C904095D6656}"/>
              </c:ext>
            </c:extLst>
          </c:dPt>
          <c:dPt>
            <c:idx val="5"/>
            <c:bubble3D val="0"/>
            <c:spPr>
              <a:solidFill>
                <a:srgbClr val="EB21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365-4E19-9B8F-C904095D6656}"/>
              </c:ext>
            </c:extLst>
          </c:dPt>
          <c:dPt>
            <c:idx val="6"/>
            <c:bubble3D val="0"/>
            <c:spPr>
              <a:solidFill>
                <a:srgbClr val="1F4E7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365-4E19-9B8F-C904095D6656}"/>
              </c:ext>
            </c:extLst>
          </c:dPt>
          <c:dPt>
            <c:idx val="7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365-4E19-9B8F-C904095D6656}"/>
              </c:ext>
            </c:extLst>
          </c:dPt>
          <c:dPt>
            <c:idx val="8"/>
            <c:bubble3D val="0"/>
            <c:spPr>
              <a:solidFill>
                <a:srgbClr val="D5D6D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365-4E19-9B8F-C904095D6656}"/>
              </c:ext>
            </c:extLst>
          </c:dPt>
          <c:dLbls>
            <c:dLbl>
              <c:idx val="0"/>
              <c:layout>
                <c:manualLayout>
                  <c:x val="0.13519722222222214"/>
                  <c:y val="-0.103833333333333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5-4E19-9B8F-C904095D6656}"/>
                </c:ext>
              </c:extLst>
            </c:dLbl>
            <c:dLbl>
              <c:idx val="1"/>
              <c:layout>
                <c:manualLayout>
                  <c:x val="0.15285756203230355"/>
                  <c:y val="0.1089074999999999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97797989402002"/>
                      <c:h val="0.165629166666666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365-4E19-9B8F-C904095D6656}"/>
                </c:ext>
              </c:extLst>
            </c:dLbl>
            <c:dLbl>
              <c:idx val="2"/>
              <c:layout>
                <c:manualLayout>
                  <c:x val="-8.0813702657528824E-2"/>
                  <c:y val="0.129729385416953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5-4E19-9B8F-C904095D6656}"/>
                </c:ext>
              </c:extLst>
            </c:dLbl>
            <c:dLbl>
              <c:idx val="3"/>
              <c:layout>
                <c:manualLayout>
                  <c:x val="-0.1661378205128205"/>
                  <c:y val="0.1190462500000000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09700854700856"/>
                      <c:h val="0.11477166666666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65-4E19-9B8F-C904095D6656}"/>
                </c:ext>
              </c:extLst>
            </c:dLbl>
            <c:dLbl>
              <c:idx val="4"/>
              <c:layout>
                <c:manualLayout>
                  <c:x val="-0.13425239225152499"/>
                  <c:y val="-1.02402777777778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65-4E19-9B8F-C904095D6656}"/>
                </c:ext>
              </c:extLst>
            </c:dLbl>
            <c:dLbl>
              <c:idx val="5"/>
              <c:layout>
                <c:manualLayout>
                  <c:x val="-0.22363384184121757"/>
                  <c:y val="-5.54783333333333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771084656084658"/>
                      <c:h val="7.80005555555555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365-4E19-9B8F-C904095D6656}"/>
                </c:ext>
              </c:extLst>
            </c:dLbl>
            <c:dLbl>
              <c:idx val="6"/>
              <c:layout>
                <c:manualLayout>
                  <c:x val="-0.14901217948717951"/>
                  <c:y val="-7.88336111111111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39807692307693"/>
                      <c:h val="6.1030555555555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365-4E19-9B8F-C904095D6656}"/>
                </c:ext>
              </c:extLst>
            </c:dLbl>
            <c:dLbl>
              <c:idx val="7"/>
              <c:layout>
                <c:manualLayout>
                  <c:x val="-7.4056303418803412E-2"/>
                  <c:y val="-0.161839027777777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817884615384608"/>
                      <c:h val="6.45583333333333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365-4E19-9B8F-C904095D6656}"/>
                </c:ext>
              </c:extLst>
            </c:dLbl>
            <c:dLbl>
              <c:idx val="8"/>
              <c:layout>
                <c:manualLayout>
                  <c:x val="0.17745497780453004"/>
                  <c:y val="-0.145693417427418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Aptos Display" panose="020B00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63495560906003"/>
                      <c:h val="0.11394733181183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365-4E19-9B8F-C904095D6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for Charts'!$A$45:$A$53</c:f>
              <c:strCache>
                <c:ptCount val="9"/>
                <c:pt idx="0">
                  <c:v> Rajasthan </c:v>
                </c:pt>
                <c:pt idx="1">
                  <c:v> Maharashtra </c:v>
                </c:pt>
                <c:pt idx="2">
                  <c:v> Gujarat </c:v>
                </c:pt>
                <c:pt idx="3">
                  <c:v> Madhya Pradesh </c:v>
                </c:pt>
                <c:pt idx="4">
                  <c:v> Delhi </c:v>
                </c:pt>
                <c:pt idx="5">
                  <c:v> Uttar Pradesh </c:v>
                </c:pt>
                <c:pt idx="6">
                  <c:v> Haryana </c:v>
                </c:pt>
                <c:pt idx="7">
                  <c:v> Karnataka </c:v>
                </c:pt>
                <c:pt idx="8">
                  <c:v> Others </c:v>
                </c:pt>
              </c:strCache>
            </c:strRef>
          </c:cat>
          <c:val>
            <c:numRef>
              <c:f>'Data for Charts'!$B$45:$B$53</c:f>
              <c:numCache>
                <c:formatCode>0.0%</c:formatCode>
                <c:ptCount val="9"/>
                <c:pt idx="0">
                  <c:v>0.33</c:v>
                </c:pt>
                <c:pt idx="1">
                  <c:v>0.19400000000000001</c:v>
                </c:pt>
                <c:pt idx="2">
                  <c:v>0.11700000000000001</c:v>
                </c:pt>
                <c:pt idx="3">
                  <c:v>0.11899999999999999</c:v>
                </c:pt>
                <c:pt idx="4">
                  <c:v>5.3999999999999999E-2</c:v>
                </c:pt>
                <c:pt idx="5">
                  <c:v>0.06</c:v>
                </c:pt>
                <c:pt idx="6">
                  <c:v>0.05</c:v>
                </c:pt>
                <c:pt idx="7">
                  <c:v>3.7999999999999999E-2</c:v>
                </c:pt>
                <c:pt idx="8">
                  <c:v>3.7999999999999812E-2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365-4E19-9B8F-C904095D66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'Data for Charts'!$A$9</c:f>
              <c:strCache>
                <c:ptCount val="1"/>
                <c:pt idx="0">
                  <c:v> HL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Charts'!$B$8:$Q$8</c15:sqref>
                  </c15:fullRef>
                </c:ext>
              </c:extLst>
              <c:f>'Data for Charts'!$F$8:$Q$8</c:f>
              <c:strCache>
                <c:ptCount val="12"/>
                <c:pt idx="0">
                  <c:v>Q1FY24</c:v>
                </c:pt>
                <c:pt idx="1">
                  <c:v>Q2FY24</c:v>
                </c:pt>
                <c:pt idx="2">
                  <c:v>Q3FY24</c:v>
                </c:pt>
                <c:pt idx="3">
                  <c:v>Q4FY24</c:v>
                </c:pt>
                <c:pt idx="4">
                  <c:v>Q1FY25</c:v>
                </c:pt>
                <c:pt idx="5">
                  <c:v>Q2FY25</c:v>
                </c:pt>
                <c:pt idx="6">
                  <c:v>Q3FY25</c:v>
                </c:pt>
                <c:pt idx="7">
                  <c:v>Q4FY25</c:v>
                </c:pt>
                <c:pt idx="8">
                  <c:v>Q1FY26</c:v>
                </c:pt>
                <c:pt idx="9">
                  <c:v>Q2FY26</c:v>
                </c:pt>
                <c:pt idx="10">
                  <c:v>Q3FY26</c:v>
                </c:pt>
                <c:pt idx="11">
                  <c:v>Q4FY26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Charts'!$B$9:$Q$9</c15:sqref>
                  </c15:fullRef>
                </c:ext>
              </c:extLst>
              <c:f>'Data for Charts'!$F$9:$Q$9</c:f>
              <c:numCache>
                <c:formatCode>0.0%</c:formatCode>
                <c:ptCount val="12"/>
                <c:pt idx="0">
                  <c:v>0.69799999999999995</c:v>
                </c:pt>
                <c:pt idx="1">
                  <c:v>0.69699999999999995</c:v>
                </c:pt>
                <c:pt idx="2">
                  <c:v>0.69299999999999995</c:v>
                </c:pt>
                <c:pt idx="3">
                  <c:v>0.69299999999999995</c:v>
                </c:pt>
                <c:pt idx="4">
                  <c:v>0.69199999999999995</c:v>
                </c:pt>
                <c:pt idx="5">
                  <c:v>0.69</c:v>
                </c:pt>
                <c:pt idx="6">
                  <c:v>0.68608960168096667</c:v>
                </c:pt>
                <c:pt idx="7">
                  <c:v>0.67970122685040646</c:v>
                </c:pt>
                <c:pt idx="8">
                  <c:v>0.67459992188893758</c:v>
                </c:pt>
                <c:pt idx="9">
                  <c:v>0.66914898493672859</c:v>
                </c:pt>
                <c:pt idx="10">
                  <c:v>0.66179656360483707</c:v>
                </c:pt>
                <c:pt idx="11">
                  <c:v>0.65008265921760078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A-4D90-9ACA-D54D33340CEC}"/>
            </c:ext>
          </c:extLst>
        </c:ser>
        <c:ser>
          <c:idx val="1"/>
          <c:order val="1"/>
          <c:tx>
            <c:strRef>
              <c:f>'Data for Charts'!$A$10</c:f>
              <c:strCache>
                <c:ptCount val="1"/>
                <c:pt idx="0">
                  <c:v> MSME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Charts'!$B$8:$Q$8</c15:sqref>
                  </c15:fullRef>
                </c:ext>
              </c:extLst>
              <c:f>'Data for Charts'!$F$8:$Q$8</c:f>
              <c:strCache>
                <c:ptCount val="12"/>
                <c:pt idx="0">
                  <c:v>Q1FY24</c:v>
                </c:pt>
                <c:pt idx="1">
                  <c:v>Q2FY24</c:v>
                </c:pt>
                <c:pt idx="2">
                  <c:v>Q3FY24</c:v>
                </c:pt>
                <c:pt idx="3">
                  <c:v>Q4FY24</c:v>
                </c:pt>
                <c:pt idx="4">
                  <c:v>Q1FY25</c:v>
                </c:pt>
                <c:pt idx="5">
                  <c:v>Q2FY25</c:v>
                </c:pt>
                <c:pt idx="6">
                  <c:v>Q3FY25</c:v>
                </c:pt>
                <c:pt idx="7">
                  <c:v>Q4FY25</c:v>
                </c:pt>
                <c:pt idx="8">
                  <c:v>Q1FY26</c:v>
                </c:pt>
                <c:pt idx="9">
                  <c:v>Q2FY26</c:v>
                </c:pt>
                <c:pt idx="10">
                  <c:v>Q3FY26</c:v>
                </c:pt>
                <c:pt idx="11">
                  <c:v>Q4FY26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Charts'!$B$10:$Q$10</c15:sqref>
                  </c15:fullRef>
                </c:ext>
              </c:extLst>
              <c:f>'Data for Charts'!$F$10:$Q$10</c:f>
              <c:numCache>
                <c:formatCode>0.0%</c:formatCode>
                <c:ptCount val="12"/>
                <c:pt idx="0">
                  <c:v>0.104</c:v>
                </c:pt>
                <c:pt idx="1">
                  <c:v>0.12</c:v>
                </c:pt>
                <c:pt idx="2">
                  <c:v>0.13200000000000001</c:v>
                </c:pt>
                <c:pt idx="3">
                  <c:v>0.17</c:v>
                </c:pt>
                <c:pt idx="4">
                  <c:v>0.17299999999999999</c:v>
                </c:pt>
                <c:pt idx="5">
                  <c:v>0.17899999999999999</c:v>
                </c:pt>
                <c:pt idx="6">
                  <c:v>0.18404745695075322</c:v>
                </c:pt>
                <c:pt idx="7">
                  <c:v>0.192</c:v>
                </c:pt>
                <c:pt idx="8">
                  <c:v>0.19752937602761853</c:v>
                </c:pt>
                <c:pt idx="9">
                  <c:v>0.20396029007736199</c:v>
                </c:pt>
                <c:pt idx="10">
                  <c:v>0.21202513117301325</c:v>
                </c:pt>
                <c:pt idx="11">
                  <c:v>0.2242318363991368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7A-4D90-9ACA-D54D33340CEC}"/>
            </c:ext>
          </c:extLst>
        </c:ser>
        <c:ser>
          <c:idx val="2"/>
          <c:order val="2"/>
          <c:tx>
            <c:strRef>
              <c:f>'Data for Charts'!$A$11</c:f>
              <c:strCache>
                <c:ptCount val="1"/>
                <c:pt idx="0">
                  <c:v> Other Mortgage Loan </c:v>
                </c:pt>
              </c:strCache>
            </c:strRef>
          </c:tx>
          <c:spPr>
            <a:solidFill>
              <a:srgbClr val="D5D6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Charts'!$B$8:$Q$8</c15:sqref>
                  </c15:fullRef>
                </c:ext>
              </c:extLst>
              <c:f>'Data for Charts'!$F$8:$Q$8</c:f>
              <c:strCache>
                <c:ptCount val="12"/>
                <c:pt idx="0">
                  <c:v>Q1FY24</c:v>
                </c:pt>
                <c:pt idx="1">
                  <c:v>Q2FY24</c:v>
                </c:pt>
                <c:pt idx="2">
                  <c:v>Q3FY24</c:v>
                </c:pt>
                <c:pt idx="3">
                  <c:v>Q4FY24</c:v>
                </c:pt>
                <c:pt idx="4">
                  <c:v>Q1FY25</c:v>
                </c:pt>
                <c:pt idx="5">
                  <c:v>Q2FY25</c:v>
                </c:pt>
                <c:pt idx="6">
                  <c:v>Q3FY25</c:v>
                </c:pt>
                <c:pt idx="7">
                  <c:v>Q4FY25</c:v>
                </c:pt>
                <c:pt idx="8">
                  <c:v>Q1FY26</c:v>
                </c:pt>
                <c:pt idx="9">
                  <c:v>Q2FY26</c:v>
                </c:pt>
                <c:pt idx="10">
                  <c:v>Q3FY26</c:v>
                </c:pt>
                <c:pt idx="11">
                  <c:v>Q4FY26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Charts'!$B$11:$Q$11</c15:sqref>
                  </c15:fullRef>
                </c:ext>
              </c:extLst>
              <c:f>'Data for Charts'!$F$11:$Q$11</c:f>
              <c:numCache>
                <c:formatCode>0.0%</c:formatCode>
                <c:ptCount val="12"/>
                <c:pt idx="0">
                  <c:v>0.19800000000000006</c:v>
                </c:pt>
                <c:pt idx="1">
                  <c:v>0.18300000000000005</c:v>
                </c:pt>
                <c:pt idx="2">
                  <c:v>0.17500000000000004</c:v>
                </c:pt>
                <c:pt idx="3">
                  <c:v>0.13700000000000001</c:v>
                </c:pt>
                <c:pt idx="4">
                  <c:v>0.13500000000000001</c:v>
                </c:pt>
                <c:pt idx="5">
                  <c:v>0.13100000000000001</c:v>
                </c:pt>
                <c:pt idx="6">
                  <c:v>0.12986294136828039</c:v>
                </c:pt>
                <c:pt idx="7">
                  <c:v>0.128</c:v>
                </c:pt>
                <c:pt idx="8">
                  <c:v>0.12787552375395977</c:v>
                </c:pt>
                <c:pt idx="9">
                  <c:v>0.12689072498590942</c:v>
                </c:pt>
                <c:pt idx="10">
                  <c:v>0.12617830522214965</c:v>
                </c:pt>
                <c:pt idx="11">
                  <c:v>0.12568550438326245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7A-4D90-9ACA-D54D33340C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882449839"/>
        <c:axId val="1882425839"/>
      </c:barChart>
      <c:catAx>
        <c:axId val="188244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882425839"/>
        <c:crosses val="autoZero"/>
        <c:auto val="1"/>
        <c:lblAlgn val="ctr"/>
        <c:lblOffset val="100"/>
        <c:noMultiLvlLbl val="0"/>
      </c:catAx>
      <c:valAx>
        <c:axId val="1882425839"/>
        <c:scaling>
          <c:orientation val="minMax"/>
          <c:max val="1"/>
        </c:scaling>
        <c:delete val="1"/>
        <c:axPos val="l"/>
        <c:numFmt formatCode="0.0%" sourceLinked="1"/>
        <c:majorTickMark val="none"/>
        <c:minorTickMark val="none"/>
        <c:tickLblPos val="nextTo"/>
        <c:crossAx val="1882449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925213675213675E-2"/>
          <c:y val="0.14615079365079364"/>
          <c:w val="0.83148901515151519"/>
          <c:h val="0.708873809523809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 Charts'!$A$20</c:f>
              <c:strCache>
                <c:ptCount val="1"/>
                <c:pt idx="0">
                  <c:v> Vintage States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Charts'!$B$19:$J$19</c:f>
              <c:strCache>
                <c:ptCount val="9"/>
                <c:pt idx="0">
                  <c:v>FY18</c:v>
                </c:pt>
                <c:pt idx="1">
                  <c:v>FY19</c:v>
                </c:pt>
                <c:pt idx="2">
                  <c:v>FY20</c:v>
                </c:pt>
                <c:pt idx="3">
                  <c:v>FY21</c:v>
                </c:pt>
                <c:pt idx="4">
                  <c:v>FY22</c:v>
                </c:pt>
                <c:pt idx="5">
                  <c:v>FY23</c:v>
                </c:pt>
                <c:pt idx="6">
                  <c:v>FY24</c:v>
                </c:pt>
                <c:pt idx="7">
                  <c:v>FY25</c:v>
                </c:pt>
                <c:pt idx="8">
                  <c:v>FY26</c:v>
                </c:pt>
              </c:strCache>
            </c:strRef>
          </c:cat>
          <c:val>
            <c:numRef>
              <c:f>'Data for Charts'!$B$20:$J$20</c:f>
              <c:numCache>
                <c:formatCode>0%</c:formatCode>
                <c:ptCount val="9"/>
                <c:pt idx="0">
                  <c:v>0.97199999999999998</c:v>
                </c:pt>
                <c:pt idx="1">
                  <c:v>0.94600000000000006</c:v>
                </c:pt>
                <c:pt idx="2">
                  <c:v>0.92200000000000004</c:v>
                </c:pt>
                <c:pt idx="3">
                  <c:v>0.90500000000000014</c:v>
                </c:pt>
                <c:pt idx="4">
                  <c:v>0.89300000000000002</c:v>
                </c:pt>
                <c:pt idx="5">
                  <c:v>0.87300000000000011</c:v>
                </c:pt>
                <c:pt idx="6">
                  <c:v>0.85099999999999998</c:v>
                </c:pt>
                <c:pt idx="7">
                  <c:v>0.8304324447678717</c:v>
                </c:pt>
                <c:pt idx="8">
                  <c:v>0.81400000000000006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9-4797-B6F2-DD51D54E05C8}"/>
            </c:ext>
          </c:extLst>
        </c:ser>
        <c:ser>
          <c:idx val="1"/>
          <c:order val="1"/>
          <c:tx>
            <c:strRef>
              <c:f>'Data for Charts'!$A$21</c:f>
              <c:strCache>
                <c:ptCount val="1"/>
                <c:pt idx="0">
                  <c:v> Emerging States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Charts'!$B$19:$J$19</c:f>
              <c:strCache>
                <c:ptCount val="9"/>
                <c:pt idx="0">
                  <c:v>FY18</c:v>
                </c:pt>
                <c:pt idx="1">
                  <c:v>FY19</c:v>
                </c:pt>
                <c:pt idx="2">
                  <c:v>FY20</c:v>
                </c:pt>
                <c:pt idx="3">
                  <c:v>FY21</c:v>
                </c:pt>
                <c:pt idx="4">
                  <c:v>FY22</c:v>
                </c:pt>
                <c:pt idx="5">
                  <c:v>FY23</c:v>
                </c:pt>
                <c:pt idx="6">
                  <c:v>FY24</c:v>
                </c:pt>
                <c:pt idx="7">
                  <c:v>FY25</c:v>
                </c:pt>
                <c:pt idx="8">
                  <c:v>FY26</c:v>
                </c:pt>
              </c:strCache>
            </c:strRef>
          </c:cat>
          <c:val>
            <c:numRef>
              <c:f>'Data for Charts'!$B$21:$J$21</c:f>
              <c:numCache>
                <c:formatCode>0%</c:formatCode>
                <c:ptCount val="9"/>
                <c:pt idx="0">
                  <c:v>2.8000000000000025E-2</c:v>
                </c:pt>
                <c:pt idx="1">
                  <c:v>5.3999999999999937E-2</c:v>
                </c:pt>
                <c:pt idx="2">
                  <c:v>7.7999999999999958E-2</c:v>
                </c:pt>
                <c:pt idx="3">
                  <c:v>9.4999999999999862E-2</c:v>
                </c:pt>
                <c:pt idx="4">
                  <c:v>0.10699999999999998</c:v>
                </c:pt>
                <c:pt idx="5">
                  <c:v>0.12699999999999989</c:v>
                </c:pt>
                <c:pt idx="6">
                  <c:v>0.14900000000000002</c:v>
                </c:pt>
                <c:pt idx="7">
                  <c:v>0.1695675552321283</c:v>
                </c:pt>
                <c:pt idx="8">
                  <c:v>0.18599999999999994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9-4797-B6F2-DD51D54E0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82437359"/>
        <c:axId val="1882446479"/>
      </c:barChart>
      <c:catAx>
        <c:axId val="188243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882446479"/>
        <c:crosses val="autoZero"/>
        <c:auto val="1"/>
        <c:lblAlgn val="ctr"/>
        <c:lblOffset val="100"/>
        <c:noMultiLvlLbl val="0"/>
      </c:catAx>
      <c:valAx>
        <c:axId val="1882446479"/>
        <c:scaling>
          <c:orientation val="minMax"/>
          <c:max val="1"/>
          <c:min val="0.60000000000000009"/>
        </c:scaling>
        <c:delete val="1"/>
        <c:axPos val="l"/>
        <c:numFmt formatCode="0%" sourceLinked="1"/>
        <c:majorTickMark val="out"/>
        <c:minorTickMark val="none"/>
        <c:tickLblPos val="nextTo"/>
        <c:crossAx val="188243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67853535353533"/>
          <c:y val="0.29083531746031743"/>
          <c:w val="0.14396464646464643"/>
          <c:h val="0.362892857142857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for Charts'!$A$14</c:f>
              <c:strCache>
                <c:ptCount val="1"/>
                <c:pt idx="0">
                  <c:v> Branches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Charts'!$B$13:$O$13</c:f>
              <c:strCache>
                <c:ptCount val="14"/>
                <c:pt idx="0">
                  <c:v>FY13</c:v>
                </c:pt>
                <c:pt idx="1">
                  <c:v>FY14</c:v>
                </c:pt>
                <c:pt idx="2">
                  <c:v>FY15</c:v>
                </c:pt>
                <c:pt idx="3">
                  <c:v>FY16</c:v>
                </c:pt>
                <c:pt idx="4">
                  <c:v>FY17</c:v>
                </c:pt>
                <c:pt idx="5">
                  <c:v>FY18</c:v>
                </c:pt>
                <c:pt idx="6">
                  <c:v>FY19</c:v>
                </c:pt>
                <c:pt idx="7">
                  <c:v>FY20</c:v>
                </c:pt>
                <c:pt idx="8">
                  <c:v>FY21</c:v>
                </c:pt>
                <c:pt idx="9">
                  <c:v>FY22</c:v>
                </c:pt>
                <c:pt idx="10">
                  <c:v>FY23</c:v>
                </c:pt>
                <c:pt idx="11">
                  <c:v>FY24</c:v>
                </c:pt>
                <c:pt idx="12">
                  <c:v>FY25</c:v>
                </c:pt>
                <c:pt idx="13">
                  <c:v>FY26</c:v>
                </c:pt>
              </c:strCache>
            </c:strRef>
          </c:cat>
          <c:val>
            <c:numRef>
              <c:f>'Data for Charts'!$B$14:$O$14</c:f>
              <c:numCache>
                <c:formatCode>General</c:formatCode>
                <c:ptCount val="14"/>
                <c:pt idx="0">
                  <c:v>25</c:v>
                </c:pt>
                <c:pt idx="1">
                  <c:v>35</c:v>
                </c:pt>
                <c:pt idx="2">
                  <c:v>42</c:v>
                </c:pt>
                <c:pt idx="3">
                  <c:v>44</c:v>
                </c:pt>
                <c:pt idx="4">
                  <c:v>94</c:v>
                </c:pt>
                <c:pt idx="5">
                  <c:v>165</c:v>
                </c:pt>
                <c:pt idx="6">
                  <c:v>210</c:v>
                </c:pt>
                <c:pt idx="7">
                  <c:v>250</c:v>
                </c:pt>
                <c:pt idx="8">
                  <c:v>280</c:v>
                </c:pt>
                <c:pt idx="9">
                  <c:v>314</c:v>
                </c:pt>
                <c:pt idx="10">
                  <c:v>346</c:v>
                </c:pt>
                <c:pt idx="11">
                  <c:v>367</c:v>
                </c:pt>
                <c:pt idx="12">
                  <c:v>397</c:v>
                </c:pt>
                <c:pt idx="13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B-4DC0-A881-89D70004C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92658607"/>
        <c:axId val="1892666767"/>
      </c:barChart>
      <c:catAx>
        <c:axId val="1892658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892666767"/>
        <c:crosses val="autoZero"/>
        <c:auto val="1"/>
        <c:lblAlgn val="ctr"/>
        <c:lblOffset val="100"/>
        <c:noMultiLvlLbl val="0"/>
      </c:catAx>
      <c:valAx>
        <c:axId val="189266676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892658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19187291604543E-2"/>
          <c:y val="5.5252246080926944E-2"/>
          <c:w val="0.94036162541679091"/>
          <c:h val="0.69778722071314547"/>
        </c:manualLayout>
      </c:layout>
      <c:lineChart>
        <c:grouping val="standard"/>
        <c:varyColors val="0"/>
        <c:ser>
          <c:idx val="0"/>
          <c:order val="0"/>
          <c:tx>
            <c:strRef>
              <c:f>'Data for Charts'!$A$24</c:f>
              <c:strCache>
                <c:ptCount val="1"/>
                <c:pt idx="0">
                  <c:v> 1+DPD </c:v>
                </c:pt>
              </c:strCache>
            </c:strRef>
          </c:tx>
          <c:spPr>
            <a:ln w="28575" cap="rnd">
              <a:solidFill>
                <a:srgbClr val="29389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93895"/>
              </a:solidFill>
              <a:ln w="9525">
                <a:solidFill>
                  <a:srgbClr val="29389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Charts'!$B$23:$I$23</c15:sqref>
                  </c15:fullRef>
                </c:ext>
              </c:extLst>
              <c:f>'Data for Charts'!$D$23:$I$23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Charts'!$B$24:$I$24</c15:sqref>
                  </c15:fullRef>
                </c:ext>
              </c:extLst>
              <c:f>'Data for Charts'!$D$24:$I$24</c:f>
              <c:numCache>
                <c:formatCode>0.00%</c:formatCode>
                <c:ptCount val="6"/>
                <c:pt idx="0">
                  <c:v>6.3700000000000007E-2</c:v>
                </c:pt>
                <c:pt idx="1">
                  <c:v>4.4699999999999997E-2</c:v>
                </c:pt>
                <c:pt idx="2">
                  <c:v>3.301213985249235E-2</c:v>
                </c:pt>
                <c:pt idx="3">
                  <c:v>3.1199999999999999E-2</c:v>
                </c:pt>
                <c:pt idx="4">
                  <c:v>3.39E-2</c:v>
                </c:pt>
                <c:pt idx="5">
                  <c:v>3.1699999999999999E-2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'Data for Charts'!$C$24</c15:sqref>
                  <c15:dLbl>
                    <c:idx val="-1"/>
                    <c:layout>
                      <c:manualLayout>
                        <c:x val="-7.7916234338256313E-2"/>
                        <c:y val="-7.781786455012731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8D6-4AD1-BD88-566F0703259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95B9-4F9A-9FEF-A863CF9BF139}"/>
            </c:ext>
          </c:extLst>
        </c:ser>
        <c:ser>
          <c:idx val="1"/>
          <c:order val="1"/>
          <c:tx>
            <c:strRef>
              <c:f>'Data for Charts'!$A$25</c:f>
              <c:strCache>
                <c:ptCount val="1"/>
                <c:pt idx="0">
                  <c:v> GNPA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Charts'!$B$23:$I$23</c15:sqref>
                  </c15:fullRef>
                </c:ext>
              </c:extLst>
              <c:f>'Data for Charts'!$D$23:$I$23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Charts'!$B$25:$I$25</c15:sqref>
                  </c15:fullRef>
                </c:ext>
              </c:extLst>
              <c:f>'Data for Charts'!$D$25:$I$25</c:f>
              <c:numCache>
                <c:formatCode>0.00%</c:formatCode>
                <c:ptCount val="6"/>
                <c:pt idx="0">
                  <c:v>9.7999999999999997E-3</c:v>
                </c:pt>
                <c:pt idx="1">
                  <c:v>9.9000000000000008E-3</c:v>
                </c:pt>
                <c:pt idx="2">
                  <c:v>9.2388934184662388E-3</c:v>
                </c:pt>
                <c:pt idx="3">
                  <c:v>9.3587917321395798E-3</c:v>
                </c:pt>
                <c:pt idx="4">
                  <c:v>1.0793816651892411E-2</c:v>
                </c:pt>
                <c:pt idx="5">
                  <c:v>1.0472362803420629E-2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9-4F9A-9FEF-A863CF9BF139}"/>
            </c:ext>
          </c:extLst>
        </c:ser>
        <c:ser>
          <c:idx val="2"/>
          <c:order val="2"/>
          <c:tx>
            <c:strRef>
              <c:f>'Data for Charts'!$A$26</c:f>
              <c:strCache>
                <c:ptCount val="1"/>
                <c:pt idx="0">
                  <c:v> NNPA 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Charts'!$B$23:$I$23</c15:sqref>
                  </c15:fullRef>
                </c:ext>
              </c:extLst>
              <c:f>'Data for Charts'!$D$23:$I$23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Charts'!$B$26:$I$26</c15:sqref>
                  </c15:fullRef>
                </c:ext>
              </c:extLst>
              <c:f>'Data for Charts'!$D$26:$I$26</c:f>
              <c:numCache>
                <c:formatCode>0.00%</c:formatCode>
                <c:ptCount val="6"/>
                <c:pt idx="0">
                  <c:v>7.1000000000000004E-3</c:v>
                </c:pt>
                <c:pt idx="1">
                  <c:v>7.7000000000000002E-3</c:v>
                </c:pt>
                <c:pt idx="2">
                  <c:v>6.7952650428141602E-3</c:v>
                </c:pt>
                <c:pt idx="3">
                  <c:v>6.702634534052186E-3</c:v>
                </c:pt>
                <c:pt idx="4">
                  <c:v>7.3412504947023517E-3</c:v>
                </c:pt>
                <c:pt idx="5">
                  <c:v>6.7552787213359519E-3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B9-4F9A-9FEF-A863CF9BF1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92758927"/>
        <c:axId val="1892746447"/>
      </c:lineChart>
      <c:catAx>
        <c:axId val="189275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892746447"/>
        <c:crosses val="autoZero"/>
        <c:auto val="1"/>
        <c:lblAlgn val="ctr"/>
        <c:lblOffset val="100"/>
        <c:noMultiLvlLbl val="0"/>
      </c:catAx>
      <c:valAx>
        <c:axId val="1892746447"/>
        <c:scaling>
          <c:orientation val="minMax"/>
          <c:max val="7.2500000000000009E-2"/>
          <c:min val="-1.0000000000000002E-2"/>
        </c:scaling>
        <c:delete val="1"/>
        <c:axPos val="l"/>
        <c:numFmt formatCode="0.00%" sourceLinked="1"/>
        <c:majorTickMark val="out"/>
        <c:minorTickMark val="none"/>
        <c:tickLblPos val="nextTo"/>
        <c:crossAx val="1892758927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3"/>
          <c:tx>
            <c:strRef>
              <c:f>'Data for Charts'!$A$27</c:f>
              <c:strCache>
                <c:ptCount val="1"/>
                <c:pt idx="0">
                  <c:v> Credit Cost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6112127977315782E-2"/>
                  <c:y val="-5.277835345933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9-4DF0-9FE8-3B14DC756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Charts'!$B$23:$I$23</c15:sqref>
                  </c15:fullRef>
                </c:ext>
              </c:extLst>
              <c:f>'Data for Charts'!$D$23:$I$23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Charts'!$B$27:$I$27</c15:sqref>
                  </c15:fullRef>
                </c:ext>
              </c:extLst>
              <c:f>'Data for Charts'!$D$27:$I$27</c:f>
              <c:numCache>
                <c:formatCode>0.00%</c:formatCode>
                <c:ptCount val="6"/>
                <c:pt idx="0">
                  <c:v>4.4696554742849649E-3</c:v>
                </c:pt>
                <c:pt idx="1">
                  <c:v>2.2627339472700491E-3</c:v>
                </c:pt>
                <c:pt idx="2">
                  <c:v>1.0169405683210333E-3</c:v>
                </c:pt>
                <c:pt idx="3">
                  <c:v>1.635399273453449E-3</c:v>
                </c:pt>
                <c:pt idx="4">
                  <c:v>1.5438764816289043E-3</c:v>
                </c:pt>
                <c:pt idx="5">
                  <c:v>1.6933748238706135E-3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19-4DF0-9FE8-3B14DC756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763727"/>
        <c:axId val="189276708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'Data for Charts'!$A$24</c15:sqref>
                        </c15:formulaRef>
                      </c:ext>
                    </c:extLst>
                    <c:strCache>
                      <c:ptCount val="1"/>
                      <c:pt idx="0">
                        <c:v> 1+DPD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293895"/>
                    </a:solidFill>
                    <a:ln w="9525">
                      <a:solidFill>
                        <a:srgbClr val="293895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'Data for Charts'!$B$23:$I$23</c15:sqref>
                        </c15:fullRef>
                        <c15:formulaRef>
                          <c15:sqref>'Data for Charts'!$D$23:$I$23</c15:sqref>
                        </c15:formulaRef>
                      </c:ext>
                    </c:extLst>
                    <c:strCache>
                      <c:ptCount val="6"/>
                      <c:pt idx="0">
                        <c:v>FY21</c:v>
                      </c:pt>
                      <c:pt idx="1">
                        <c:v>FY22</c:v>
                      </c:pt>
                      <c:pt idx="2">
                        <c:v>FY23</c:v>
                      </c:pt>
                      <c:pt idx="3">
                        <c:v>FY24</c:v>
                      </c:pt>
                      <c:pt idx="4">
                        <c:v>FY25</c:v>
                      </c:pt>
                      <c:pt idx="5">
                        <c:v>FY26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'Data for Charts'!$B$24:$I$24</c15:sqref>
                        </c15:fullRef>
                        <c15:formulaRef>
                          <c15:sqref>'Data for Charts'!$D$24:$I$24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6.3700000000000007E-2</c:v>
                      </c:pt>
                      <c:pt idx="1">
                        <c:v>4.4699999999999997E-2</c:v>
                      </c:pt>
                      <c:pt idx="2">
                        <c:v>3.301213985249235E-2</c:v>
                      </c:pt>
                      <c:pt idx="3">
                        <c:v>3.1199999999999999E-2</c:v>
                      </c:pt>
                      <c:pt idx="4">
                        <c:v>3.39E-2</c:v>
                      </c:pt>
                      <c:pt idx="5">
                        <c:v>3.1699999999999999E-2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119-4DF0-9FE8-3B14DC7568B1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for Charts'!$A$25</c15:sqref>
                        </c15:formulaRef>
                      </c:ext>
                    </c:extLst>
                    <c:strCache>
                      <c:ptCount val="1"/>
                      <c:pt idx="0">
                        <c:v> GNPA 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'Data for Charts'!$B$23:$I$23</c15:sqref>
                        </c15:fullRef>
                        <c15:formulaRef>
                          <c15:sqref>'Data for Charts'!$D$23:$I$23</c15:sqref>
                        </c15:formulaRef>
                      </c:ext>
                    </c:extLst>
                    <c:strCache>
                      <c:ptCount val="6"/>
                      <c:pt idx="0">
                        <c:v>FY21</c:v>
                      </c:pt>
                      <c:pt idx="1">
                        <c:v>FY22</c:v>
                      </c:pt>
                      <c:pt idx="2">
                        <c:v>FY23</c:v>
                      </c:pt>
                      <c:pt idx="3">
                        <c:v>FY24</c:v>
                      </c:pt>
                      <c:pt idx="4">
                        <c:v>FY25</c:v>
                      </c:pt>
                      <c:pt idx="5">
                        <c:v>FY26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'Data for Charts'!$B$25:$I$25</c15:sqref>
                        </c15:fullRef>
                        <c15:formulaRef>
                          <c15:sqref>'Data for Charts'!$D$25:$I$25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9.7999999999999997E-3</c:v>
                      </c:pt>
                      <c:pt idx="1">
                        <c:v>9.9000000000000008E-3</c:v>
                      </c:pt>
                      <c:pt idx="2">
                        <c:v>9.2388934184662388E-3</c:v>
                      </c:pt>
                      <c:pt idx="3">
                        <c:v>9.3587917321395798E-3</c:v>
                      </c:pt>
                      <c:pt idx="4">
                        <c:v>1.0793816651892411E-2</c:v>
                      </c:pt>
                      <c:pt idx="5">
                        <c:v>1.0472362803420629E-2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19-4DF0-9FE8-3B14DC7568B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for Charts'!$A$26</c15:sqref>
                        </c15:formulaRef>
                      </c:ext>
                    </c:extLst>
                    <c:strCache>
                      <c:ptCount val="1"/>
                      <c:pt idx="0">
                        <c:v> NNPA </c:v>
                      </c:pt>
                    </c:strCache>
                  </c:strRef>
                </c:tx>
                <c:spPr>
                  <a:ln w="28575" cap="rnd">
                    <a:solidFill>
                      <a:srgbClr val="29389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tx1"/>
                          </a:solidFill>
                          <a:latin typeface="Aptos Display" panose="020B0004020202020204" pitchFamily="34" charset="0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'Data for Charts'!$B$23:$I$23</c15:sqref>
                        </c15:fullRef>
                        <c15:formulaRef>
                          <c15:sqref>'Data for Charts'!$D$23:$I$23</c15:sqref>
                        </c15:formulaRef>
                      </c:ext>
                    </c:extLst>
                    <c:strCache>
                      <c:ptCount val="6"/>
                      <c:pt idx="0">
                        <c:v>FY21</c:v>
                      </c:pt>
                      <c:pt idx="1">
                        <c:v>FY22</c:v>
                      </c:pt>
                      <c:pt idx="2">
                        <c:v>FY23</c:v>
                      </c:pt>
                      <c:pt idx="3">
                        <c:v>FY24</c:v>
                      </c:pt>
                      <c:pt idx="4">
                        <c:v>FY25</c:v>
                      </c:pt>
                      <c:pt idx="5">
                        <c:v>FY26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'Data for Charts'!$B$26:$I$26</c15:sqref>
                        </c15:fullRef>
                        <c15:formulaRef>
                          <c15:sqref>'Data for Charts'!$D$26:$I$26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7.1000000000000004E-3</c:v>
                      </c:pt>
                      <c:pt idx="1">
                        <c:v>7.7000000000000002E-3</c:v>
                      </c:pt>
                      <c:pt idx="2">
                        <c:v>6.7952650428141602E-3</c:v>
                      </c:pt>
                      <c:pt idx="3">
                        <c:v>6.702634534052186E-3</c:v>
                      </c:pt>
                      <c:pt idx="4">
                        <c:v>7.3412504947023517E-3</c:v>
                      </c:pt>
                      <c:pt idx="5">
                        <c:v>6.7552787213359519E-3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19-4DF0-9FE8-3B14DC7568B1}"/>
                  </c:ext>
                </c:extLst>
              </c15:ser>
            </c15:filteredLineSeries>
          </c:ext>
        </c:extLst>
      </c:lineChart>
      <c:catAx>
        <c:axId val="189276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892767087"/>
        <c:crosses val="autoZero"/>
        <c:auto val="1"/>
        <c:lblAlgn val="ctr"/>
        <c:lblOffset val="100"/>
        <c:noMultiLvlLbl val="0"/>
      </c:catAx>
      <c:valAx>
        <c:axId val="1892767087"/>
        <c:scaling>
          <c:orientation val="minMax"/>
          <c:min val="-1.3000000000000004E-3"/>
        </c:scaling>
        <c:delete val="1"/>
        <c:axPos val="l"/>
        <c:numFmt formatCode="0.00%" sourceLinked="1"/>
        <c:majorTickMark val="none"/>
        <c:minorTickMark val="none"/>
        <c:tickLblPos val="nextTo"/>
        <c:crossAx val="1892763727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 Display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925213675213675E-2"/>
          <c:y val="5.5436507936507937E-2"/>
          <c:w val="0.8290384615384615"/>
          <c:h val="0.83412698412698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for Charts'!$A$37</c:f>
              <c:strCache>
                <c:ptCount val="1"/>
                <c:pt idx="0">
                  <c:v> NIM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Charts'!$B$36:$I$36</c15:sqref>
                  </c15:fullRef>
                </c:ext>
              </c:extLst>
              <c:f>'Data for Charts'!$D$36:$I$36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Charts'!$B$37:$I$37</c15:sqref>
                  </c15:fullRef>
                </c:ext>
              </c:extLst>
              <c:f>'Data for Charts'!$D$37:$I$37</c:f>
              <c:numCache>
                <c:formatCode>_(* #,##0_);_(* \(#,##0\);_(* "-"??_);_(@_)</c:formatCode>
                <c:ptCount val="6"/>
                <c:pt idx="0">
                  <c:v>6409.0764520774483</c:v>
                </c:pt>
                <c:pt idx="1">
                  <c:v>8223.4231116102637</c:v>
                </c:pt>
                <c:pt idx="2">
                  <c:v>10119.795833401502</c:v>
                </c:pt>
                <c:pt idx="3">
                  <c:v>11844.064832429451</c:v>
                </c:pt>
                <c:pt idx="4">
                  <c:v>13426.222535086707</c:v>
                </c:pt>
                <c:pt idx="5">
                  <c:v>15797.0437154667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9-483A-8A6D-C730B935E6C8}"/>
            </c:ext>
          </c:extLst>
        </c:ser>
        <c:ser>
          <c:idx val="1"/>
          <c:order val="1"/>
          <c:tx>
            <c:strRef>
              <c:f>'Data for Charts'!$A$38</c:f>
              <c:strCache>
                <c:ptCount val="1"/>
                <c:pt idx="0">
                  <c:v> PAT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'Data for Charts'!$B$36:$I$36</c15:sqref>
                  </c15:fullRef>
                </c:ext>
              </c:extLst>
              <c:f>'Data for Charts'!$D$36:$I$36</c:f>
              <c:strCache>
                <c:ptCount val="6"/>
                <c:pt idx="0">
                  <c:v>FY21</c:v>
                </c:pt>
                <c:pt idx="1">
                  <c:v>FY22</c:v>
                </c:pt>
                <c:pt idx="2">
                  <c:v>FY23</c:v>
                </c:pt>
                <c:pt idx="3">
                  <c:v>FY24</c:v>
                </c:pt>
                <c:pt idx="4">
                  <c:v>FY25</c:v>
                </c:pt>
                <c:pt idx="5">
                  <c:v>FY26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'Data for Charts'!$B$38:$I$38</c15:sqref>
                  </c15:fullRef>
                </c:ext>
              </c:extLst>
              <c:f>'Data for Charts'!$D$38:$I$38</c:f>
              <c:numCache>
                <c:formatCode>_(* #,##0_);_(* \(#,##0\);_(* "-"??_);_(@_)</c:formatCode>
                <c:ptCount val="6"/>
                <c:pt idx="0">
                  <c:v>2903.2920021715045</c:v>
                </c:pt>
                <c:pt idx="1">
                  <c:v>3575.0796183261932</c:v>
                </c:pt>
                <c:pt idx="2">
                  <c:v>4282.7861233836202</c:v>
                </c:pt>
                <c:pt idx="3">
                  <c:v>4908.8219230389786</c:v>
                </c:pt>
                <c:pt idx="4">
                  <c:v>5743.4478785688443</c:v>
                </c:pt>
                <c:pt idx="5">
                  <c:v>6555.8895431908659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9-483A-8A6D-C730B935E6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705667007"/>
        <c:axId val="1705682847"/>
      </c:barChart>
      <c:catAx>
        <c:axId val="170566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05682847"/>
        <c:crosses val="autoZero"/>
        <c:auto val="1"/>
        <c:lblAlgn val="ctr"/>
        <c:lblOffset val="100"/>
        <c:noMultiLvlLbl val="0"/>
      </c:catAx>
      <c:valAx>
        <c:axId val="1705682847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1705667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83440170940165E-2"/>
          <c:y val="3.0890873015873017E-2"/>
          <c:w val="0.11527574786324786"/>
          <c:h val="9.7244047619047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925213675213675E-2"/>
          <c:y val="5.5436507936507937E-2"/>
          <c:w val="0.82960790598290601"/>
          <c:h val="0.79958809523809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for Charts'!$A$42</c:f>
              <c:strCache>
                <c:ptCount val="1"/>
                <c:pt idx="0">
                  <c:v> Net Worth </c:v>
                </c:pt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for Charts'!$B$41:$I$41</c:f>
              <c:strCache>
                <c:ptCount val="8"/>
                <c:pt idx="0">
                  <c:v>FY19</c:v>
                </c:pt>
                <c:pt idx="1">
                  <c:v>FY20</c:v>
                </c:pt>
                <c:pt idx="2">
                  <c:v>FY21</c:v>
                </c:pt>
                <c:pt idx="3">
                  <c:v>FY22</c:v>
                </c:pt>
                <c:pt idx="4">
                  <c:v>FY23</c:v>
                </c:pt>
                <c:pt idx="5">
                  <c:v>FY24</c:v>
                </c:pt>
                <c:pt idx="6">
                  <c:v>FY25</c:v>
                </c:pt>
                <c:pt idx="7">
                  <c:v>FY26</c:v>
                </c:pt>
              </c:strCache>
            </c:strRef>
          </c:cat>
          <c:val>
            <c:numRef>
              <c:f>'Data for Charts'!$B$42:$I$42</c:f>
              <c:numCache>
                <c:formatCode>_(* #,##0_);_(* \(#,##0\);_(* "-"??_);_(@_)</c:formatCode>
                <c:ptCount val="8"/>
                <c:pt idx="0">
                  <c:v>18369.593140623168</c:v>
                </c:pt>
                <c:pt idx="1">
                  <c:v>20979.336973676531</c:v>
                </c:pt>
                <c:pt idx="2">
                  <c:v>24014.04792654319</c:v>
                </c:pt>
                <c:pt idx="3">
                  <c:v>28086.432961471834</c:v>
                </c:pt>
                <c:pt idx="4">
                  <c:v>32696.600112345801</c:v>
                </c:pt>
                <c:pt idx="5">
                  <c:v>37733.151922592137</c:v>
                </c:pt>
                <c:pt idx="6">
                  <c:v>43608.322557626816</c:v>
                </c:pt>
                <c:pt idx="7">
                  <c:v>50508.45499742504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A-440E-A341-7C313C8D9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014335311"/>
        <c:axId val="1014332431"/>
      </c:barChart>
      <c:catAx>
        <c:axId val="101433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14332431"/>
        <c:crosses val="autoZero"/>
        <c:auto val="1"/>
        <c:lblAlgn val="ctr"/>
        <c:lblOffset val="100"/>
        <c:noMultiLvlLbl val="0"/>
      </c:catAx>
      <c:valAx>
        <c:axId val="1014332431"/>
        <c:scaling>
          <c:orientation val="minMax"/>
          <c:min val="10000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101433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5857905982905981E-2"/>
          <c:y val="5.0199206349206354E-2"/>
          <c:w val="0.17607196223044941"/>
          <c:h val="0.103330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ptos" panose="020B00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1939567122938E-2"/>
          <c:y val="0.47363333333333335"/>
          <c:w val="0.97371007554109634"/>
          <c:h val="0.4104520467836257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Operational!$X$66</c:f>
              <c:strCache>
                <c:ptCount val="1"/>
              </c:strCache>
            </c:strRef>
          </c:tx>
          <c:spPr>
            <a:solidFill>
              <a:srgbClr val="293895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97" b="1" i="0" u="none" strike="noStrike" kern="1200" baseline="0">
                    <a:solidFill>
                      <a:schemeClr val="tx1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Operational!$Y$63:$AF$63</c:f>
              <c:strCache>
                <c:ptCount val="6"/>
                <c:pt idx="0">
                  <c:v> FY21 </c:v>
                </c:pt>
                <c:pt idx="1">
                  <c:v> FY22 </c:v>
                </c:pt>
                <c:pt idx="2">
                  <c:v> FY23 </c:v>
                </c:pt>
                <c:pt idx="3">
                  <c:v> FY24 </c:v>
                </c:pt>
                <c:pt idx="4">
                  <c:v> FY25 </c:v>
                </c:pt>
                <c:pt idx="5">
                  <c:v> FY26 </c:v>
                </c:pt>
              </c:strCache>
            </c:strRef>
          </c:cat>
          <c:val>
            <c:numRef>
              <c:f>Operational!$Y$66:$AF$66</c:f>
              <c:numCache>
                <c:formatCode>_(* #,##0.0_);_(* \(#,##0.0\);_(* "-"??_);_(@_)</c:formatCode>
                <c:ptCount val="6"/>
                <c:pt idx="0">
                  <c:v>100.25863251969436</c:v>
                </c:pt>
                <c:pt idx="1">
                  <c:v>121.28738582491582</c:v>
                </c:pt>
                <c:pt idx="2">
                  <c:v>152.25882140745432</c:v>
                </c:pt>
                <c:pt idx="3">
                  <c:v>156.58401122019634</c:v>
                </c:pt>
                <c:pt idx="4">
                  <c:v>160.28811518324608</c:v>
                </c:pt>
                <c:pt idx="5">
                  <c:v>162.86269230769233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E-439A-8531-CF74CF0A7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325173631"/>
        <c:axId val="1325183231"/>
        <c:extLst/>
      </c:barChart>
      <c:catAx>
        <c:axId val="132517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25183231"/>
        <c:crosses val="autoZero"/>
        <c:auto val="1"/>
        <c:lblAlgn val="ctr"/>
        <c:lblOffset val="100"/>
        <c:noMultiLvlLbl val="0"/>
      </c:catAx>
      <c:valAx>
        <c:axId val="1325183231"/>
        <c:scaling>
          <c:orientation val="minMax"/>
          <c:min val="85"/>
        </c:scaling>
        <c:delete val="1"/>
        <c:axPos val="l"/>
        <c:numFmt formatCode="_(* #,##0.0_);_(* \(#,##0.0\);_(* &quot;-&quot;??_);_(@_)" sourceLinked="1"/>
        <c:majorTickMark val="out"/>
        <c:minorTickMark val="none"/>
        <c:tickLblPos val="nextTo"/>
        <c:crossAx val="132517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148168</xdr:colOff>
      <xdr:row>0</xdr:row>
      <xdr:rowOff>28223</xdr:rowOff>
    </xdr:from>
    <xdr:to>
      <xdr:col>1</xdr:col>
      <xdr:colOff>3076223</xdr:colOff>
      <xdr:row>6</xdr:row>
      <xdr:rowOff>162980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8" y="28223"/>
          <a:ext cx="3330222" cy="1299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57149</xdr:rowOff>
    </xdr:from>
    <xdr:to>
      <xdr:col>13</xdr:col>
      <xdr:colOff>190499</xdr:colOff>
      <xdr:row>13</xdr:row>
      <xdr:rowOff>178594</xdr:rowOff>
    </xdr:to>
    <xdr:graphicFrame macro="">
      <xdr:nvGraphicFramePr>
        <xdr:cNvPr id="97" name="Chart 96">
          <a:extLst>
            <a:ext uri="{FF2B5EF4-FFF2-40B4-BE49-F238E27FC236}">
              <a16:creationId xmlns:a16="http://schemas.microsoft.com/office/drawing/2014/main" id="{491A53C4-F0FE-4D44-A9B9-4C17F340B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54429</xdr:colOff>
      <xdr:row>2</xdr:row>
      <xdr:rowOff>154781</xdr:rowOff>
    </xdr:from>
    <xdr:to>
      <xdr:col>12</xdr:col>
      <xdr:colOff>399709</xdr:colOff>
      <xdr:row>10</xdr:row>
      <xdr:rowOff>149679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786C57A2-E9B5-343C-E4C3-91A6E7D1A645}"/>
            </a:ext>
          </a:extLst>
        </xdr:cNvPr>
        <xdr:cNvCxnSpPr/>
      </xdr:nvCxnSpPr>
      <xdr:spPr>
        <a:xfrm flipV="1">
          <a:off x="462643" y="562995"/>
          <a:ext cx="7080816" cy="1627755"/>
        </a:xfrm>
        <a:prstGeom prst="straightConnector1">
          <a:avLst/>
        </a:prstGeom>
        <a:ln w="28575">
          <a:solidFill>
            <a:srgbClr val="C00000"/>
          </a:solidFill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47624</xdr:colOff>
      <xdr:row>4</xdr:row>
      <xdr:rowOff>59531</xdr:rowOff>
    </xdr:from>
    <xdr:to>
      <xdr:col>8</xdr:col>
      <xdr:colOff>107156</xdr:colOff>
      <xdr:row>5</xdr:row>
      <xdr:rowOff>166687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96E0F5C-D038-C5E2-653E-E60632E54521}"/>
            </a:ext>
          </a:extLst>
        </xdr:cNvPr>
        <xdr:cNvSpPr txBox="1"/>
      </xdr:nvSpPr>
      <xdr:spPr>
        <a:xfrm rot="20845951">
          <a:off x="2881312" y="869156"/>
          <a:ext cx="1881188" cy="3095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400" b="1">
              <a:latin typeface="Aptos Display" panose="020B0004020202020204" pitchFamily="34" charset="0"/>
            </a:rPr>
            <a:t>45% CAGR since FY13</a:t>
          </a:r>
        </a:p>
      </xdr:txBody>
    </xdr:sp>
    <xdr:clientData/>
  </xdr:twoCellAnchor>
  <xdr:twoCellAnchor>
    <xdr:from>
      <xdr:col>0</xdr:col>
      <xdr:colOff>0</xdr:colOff>
      <xdr:row>18</xdr:row>
      <xdr:rowOff>20411</xdr:rowOff>
    </xdr:from>
    <xdr:to>
      <xdr:col>13</xdr:col>
      <xdr:colOff>228562</xdr:colOff>
      <xdr:row>30</xdr:row>
      <xdr:rowOff>111536</xdr:rowOff>
    </xdr:to>
    <xdr:graphicFrame macro="">
      <xdr:nvGraphicFramePr>
        <xdr:cNvPr id="122" name="Chart 121">
          <a:extLst>
            <a:ext uri="{FF2B5EF4-FFF2-40B4-BE49-F238E27FC236}">
              <a16:creationId xmlns:a16="http://schemas.microsoft.com/office/drawing/2014/main" id="{AB20CA58-FCB6-4775-8E53-F38215BA8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83342</xdr:rowOff>
    </xdr:from>
    <xdr:to>
      <xdr:col>13</xdr:col>
      <xdr:colOff>228562</xdr:colOff>
      <xdr:row>58</xdr:row>
      <xdr:rowOff>174467</xdr:rowOff>
    </xdr:to>
    <xdr:graphicFrame macro="">
      <xdr:nvGraphicFramePr>
        <xdr:cNvPr id="125" name="Chart 124">
          <a:extLst>
            <a:ext uri="{FF2B5EF4-FFF2-40B4-BE49-F238E27FC236}">
              <a16:creationId xmlns:a16="http://schemas.microsoft.com/office/drawing/2014/main" id="{82BA4BAC-C497-43EB-908C-E301B44C1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13</xdr:col>
      <xdr:colOff>228562</xdr:colOff>
      <xdr:row>44</xdr:row>
      <xdr:rowOff>99529</xdr:rowOff>
    </xdr:to>
    <xdr:graphicFrame macro="">
      <xdr:nvGraphicFramePr>
        <xdr:cNvPr id="126" name="Chart 125">
          <a:extLst>
            <a:ext uri="{FF2B5EF4-FFF2-40B4-BE49-F238E27FC236}">
              <a16:creationId xmlns:a16="http://schemas.microsoft.com/office/drawing/2014/main" id="{2B66873C-3326-4FFD-859B-622BD716F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0</xdr:rowOff>
    </xdr:from>
    <xdr:to>
      <xdr:col>6</xdr:col>
      <xdr:colOff>544286</xdr:colOff>
      <xdr:row>73</xdr:row>
      <xdr:rowOff>99529</xdr:rowOff>
    </xdr:to>
    <xdr:graphicFrame macro="">
      <xdr:nvGraphicFramePr>
        <xdr:cNvPr id="127" name="Chart 126">
          <a:extLst>
            <a:ext uri="{FF2B5EF4-FFF2-40B4-BE49-F238E27FC236}">
              <a16:creationId xmlns:a16="http://schemas.microsoft.com/office/drawing/2014/main" id="{FD5F199C-DAF6-4C3A-86E5-1BED2FACC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45924</xdr:colOff>
      <xdr:row>61</xdr:row>
      <xdr:rowOff>5103</xdr:rowOff>
    </xdr:from>
    <xdr:to>
      <xdr:col>13</xdr:col>
      <xdr:colOff>299358</xdr:colOff>
      <xdr:row>73</xdr:row>
      <xdr:rowOff>104632</xdr:rowOff>
    </xdr:to>
    <xdr:graphicFrame macro="">
      <xdr:nvGraphicFramePr>
        <xdr:cNvPr id="128" name="Chart 127">
          <a:extLst>
            <a:ext uri="{FF2B5EF4-FFF2-40B4-BE49-F238E27FC236}">
              <a16:creationId xmlns:a16="http://schemas.microsoft.com/office/drawing/2014/main" id="{FE4C72F2-5CF8-4285-A86E-2CE354DF3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77</xdr:row>
      <xdr:rowOff>0</xdr:rowOff>
    </xdr:from>
    <xdr:to>
      <xdr:col>13</xdr:col>
      <xdr:colOff>228562</xdr:colOff>
      <xdr:row>89</xdr:row>
      <xdr:rowOff>91125</xdr:rowOff>
    </xdr:to>
    <xdr:graphicFrame macro="">
      <xdr:nvGraphicFramePr>
        <xdr:cNvPr id="129" name="Chart 128">
          <a:extLst>
            <a:ext uri="{FF2B5EF4-FFF2-40B4-BE49-F238E27FC236}">
              <a16:creationId xmlns:a16="http://schemas.microsoft.com/office/drawing/2014/main" id="{29F560C9-9AA7-40B3-AD59-52E6C332D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273844</xdr:colOff>
      <xdr:row>81</xdr:row>
      <xdr:rowOff>71436</xdr:rowOff>
    </xdr:from>
    <xdr:to>
      <xdr:col>14</xdr:col>
      <xdr:colOff>273844</xdr:colOff>
      <xdr:row>86</xdr:row>
      <xdr:rowOff>190499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6F92E5D-4D2C-4CE7-BF6F-0F0D1C7BCC69}"/>
            </a:ext>
          </a:extLst>
        </xdr:cNvPr>
        <xdr:cNvSpPr txBox="1"/>
      </xdr:nvSpPr>
      <xdr:spPr>
        <a:xfrm rot="21600000">
          <a:off x="6750844" y="19502436"/>
          <a:ext cx="1821656" cy="1131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 baseline="0">
              <a:latin typeface="Aptos Display" panose="020B0004020202020204" pitchFamily="34" charset="0"/>
            </a:rPr>
            <a:t>5Y CAGR for NIM of 20%</a:t>
          </a:r>
        </a:p>
        <a:p>
          <a:endParaRPr lang="en-IN" sz="1200" b="1" baseline="0">
            <a:latin typeface="Aptos Display" panose="020B0004020202020204" pitchFamily="34" charset="0"/>
          </a:endParaRPr>
        </a:p>
        <a:p>
          <a:endParaRPr lang="en-IN" sz="1200" b="1" baseline="0">
            <a:latin typeface="Aptos Display" panose="020B0004020202020204" pitchFamily="34" charset="0"/>
          </a:endParaRPr>
        </a:p>
        <a:p>
          <a:endParaRPr lang="en-IN" sz="1200" b="1" baseline="0">
            <a:latin typeface="Aptos Display" panose="020B0004020202020204" pitchFamily="34" charset="0"/>
          </a:endParaRPr>
        </a:p>
        <a:p>
          <a:r>
            <a:rPr lang="en-IN" sz="1200" b="1" baseline="0">
              <a:latin typeface="Aptos Display" panose="020B0004020202020204" pitchFamily="34" charset="0"/>
            </a:rPr>
            <a:t>5Y CAGR for PAT of 18%</a:t>
          </a:r>
          <a:endParaRPr lang="en-IN" sz="1200" b="1">
            <a:latin typeface="Aptos Display" panose="020B0004020202020204" pitchFamily="34" charset="0"/>
          </a:endParaRPr>
        </a:p>
      </xdr:txBody>
    </xdr:sp>
    <xdr:clientData/>
  </xdr:twoCellAnchor>
  <xdr:twoCellAnchor>
    <xdr:from>
      <xdr:col>0</xdr:col>
      <xdr:colOff>0</xdr:colOff>
      <xdr:row>90</xdr:row>
      <xdr:rowOff>107154</xdr:rowOff>
    </xdr:from>
    <xdr:to>
      <xdr:col>13</xdr:col>
      <xdr:colOff>228562</xdr:colOff>
      <xdr:row>102</xdr:row>
      <xdr:rowOff>198279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202A8A-7537-4AA8-82B9-6A7B69676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295275</xdr:colOff>
      <xdr:row>95</xdr:row>
      <xdr:rowOff>140494</xdr:rowOff>
    </xdr:from>
    <xdr:to>
      <xdr:col>15</xdr:col>
      <xdr:colOff>119062</xdr:colOff>
      <xdr:row>97</xdr:row>
      <xdr:rowOff>59532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677456-6DC1-4D60-B593-97481A19E8F3}"/>
            </a:ext>
          </a:extLst>
        </xdr:cNvPr>
        <xdr:cNvSpPr txBox="1"/>
      </xdr:nvSpPr>
      <xdr:spPr>
        <a:xfrm rot="21600000">
          <a:off x="6772275" y="22405182"/>
          <a:ext cx="2252662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 baseline="0">
              <a:latin typeface="Aptos Display" panose="020B0004020202020204" pitchFamily="34" charset="0"/>
            </a:rPr>
            <a:t>5Y CAGR for Networth of 16%</a:t>
          </a:r>
        </a:p>
        <a:p>
          <a:r>
            <a:rPr lang="en-IN" sz="1200" b="1" baseline="0">
              <a:latin typeface="Aptos Display" panose="020B0004020202020204" pitchFamily="34" charset="0"/>
            </a:rPr>
            <a:t> </a:t>
          </a:r>
          <a:endParaRPr lang="en-IN" sz="1200" b="1">
            <a:latin typeface="Aptos Display" panose="020B0004020202020204" pitchFamily="34" charset="0"/>
          </a:endParaRPr>
        </a:p>
      </xdr:txBody>
    </xdr:sp>
    <xdr:clientData/>
  </xdr:twoCellAnchor>
  <xdr:twoCellAnchor>
    <xdr:from>
      <xdr:col>15</xdr:col>
      <xdr:colOff>59531</xdr:colOff>
      <xdr:row>6</xdr:row>
      <xdr:rowOff>178594</xdr:rowOff>
    </xdr:from>
    <xdr:to>
      <xdr:col>18</xdr:col>
      <xdr:colOff>238125</xdr:colOff>
      <xdr:row>10</xdr:row>
      <xdr:rowOff>25461</xdr:rowOff>
    </xdr:to>
    <xdr:sp macro="" textlink="">
      <xdr:nvSpPr>
        <xdr:cNvPr id="8" name="TextBox 37">
          <a:extLst>
            <a:ext uri="{FF2B5EF4-FFF2-40B4-BE49-F238E27FC236}">
              <a16:creationId xmlns:a16="http://schemas.microsoft.com/office/drawing/2014/main" id="{7AE2B83E-6CF3-4C9A-BDE4-2BB6A132F1A1}"/>
            </a:ext>
          </a:extLst>
        </xdr:cNvPr>
        <xdr:cNvSpPr txBox="1"/>
      </xdr:nvSpPr>
      <xdr:spPr>
        <a:xfrm>
          <a:off x="8965406" y="1393032"/>
          <a:ext cx="2000250" cy="656492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Steller</a:t>
          </a:r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 growth and scaling business </a:t>
          </a:r>
          <a:endParaRPr lang="en-IN" sz="1600" b="1">
            <a:solidFill>
              <a:srgbClr val="293895"/>
            </a:solidFill>
            <a:latin typeface="Aptos" panose="020B0004020202020204" pitchFamily="34" charset="0"/>
            <a:cs typeface="Iskoola Pota" panose="020B0502040204020203" pitchFamily="34" charset="0"/>
          </a:endParaRPr>
        </a:p>
      </xdr:txBody>
    </xdr:sp>
    <xdr:clientData/>
  </xdr:twoCellAnchor>
  <xdr:twoCellAnchor>
    <xdr:from>
      <xdr:col>15</xdr:col>
      <xdr:colOff>126205</xdr:colOff>
      <xdr:row>20</xdr:row>
      <xdr:rowOff>126207</xdr:rowOff>
    </xdr:from>
    <xdr:to>
      <xdr:col>18</xdr:col>
      <xdr:colOff>304799</xdr:colOff>
      <xdr:row>23</xdr:row>
      <xdr:rowOff>175480</xdr:rowOff>
    </xdr:to>
    <xdr:sp macro="" textlink="">
      <xdr:nvSpPr>
        <xdr:cNvPr id="10" name="TextBox 37">
          <a:extLst>
            <a:ext uri="{FF2B5EF4-FFF2-40B4-BE49-F238E27FC236}">
              <a16:creationId xmlns:a16="http://schemas.microsoft.com/office/drawing/2014/main" id="{6B22AE68-30DE-4A9E-B35F-BF11ED5AB557}"/>
            </a:ext>
          </a:extLst>
        </xdr:cNvPr>
        <xdr:cNvSpPr txBox="1"/>
      </xdr:nvSpPr>
      <xdr:spPr>
        <a:xfrm>
          <a:off x="9032080" y="7210426"/>
          <a:ext cx="2000250" cy="656492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Unique HFC with MSME business</a:t>
          </a:r>
        </a:p>
      </xdr:txBody>
    </xdr:sp>
    <xdr:clientData/>
  </xdr:twoCellAnchor>
  <xdr:twoCellAnchor>
    <xdr:from>
      <xdr:col>15</xdr:col>
      <xdr:colOff>111919</xdr:colOff>
      <xdr:row>35</xdr:row>
      <xdr:rowOff>147638</xdr:rowOff>
    </xdr:from>
    <xdr:to>
      <xdr:col>18</xdr:col>
      <xdr:colOff>290513</xdr:colOff>
      <xdr:row>40</xdr:row>
      <xdr:rowOff>69267</xdr:rowOff>
    </xdr:to>
    <xdr:sp macro="" textlink="">
      <xdr:nvSpPr>
        <xdr:cNvPr id="11" name="TextBox 37">
          <a:extLst>
            <a:ext uri="{FF2B5EF4-FFF2-40B4-BE49-F238E27FC236}">
              <a16:creationId xmlns:a16="http://schemas.microsoft.com/office/drawing/2014/main" id="{69950AFF-9F41-4AC2-ADA5-35370F158E91}"/>
            </a:ext>
          </a:extLst>
        </xdr:cNvPr>
        <xdr:cNvSpPr txBox="1"/>
      </xdr:nvSpPr>
      <xdr:spPr>
        <a:xfrm>
          <a:off x="9017794" y="10267951"/>
          <a:ext cx="2000250" cy="933660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Contingious</a:t>
          </a:r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 branch expansion to scale business</a:t>
          </a:r>
        </a:p>
      </xdr:txBody>
    </xdr:sp>
    <xdr:clientData/>
  </xdr:twoCellAnchor>
  <xdr:twoCellAnchor>
    <xdr:from>
      <xdr:col>15</xdr:col>
      <xdr:colOff>85724</xdr:colOff>
      <xdr:row>49</xdr:row>
      <xdr:rowOff>14288</xdr:rowOff>
    </xdr:from>
    <xdr:to>
      <xdr:col>18</xdr:col>
      <xdr:colOff>264318</xdr:colOff>
      <xdr:row>55</xdr:row>
      <xdr:rowOff>10678</xdr:rowOff>
    </xdr:to>
    <xdr:sp macro="" textlink="">
      <xdr:nvSpPr>
        <xdr:cNvPr id="12" name="TextBox 37">
          <a:extLst>
            <a:ext uri="{FF2B5EF4-FFF2-40B4-BE49-F238E27FC236}">
              <a16:creationId xmlns:a16="http://schemas.microsoft.com/office/drawing/2014/main" id="{17B74E39-0178-477E-8979-3330AB1B7F3C}"/>
            </a:ext>
          </a:extLst>
        </xdr:cNvPr>
        <xdr:cNvSpPr txBox="1"/>
      </xdr:nvSpPr>
      <xdr:spPr>
        <a:xfrm>
          <a:off x="8991599" y="12968288"/>
          <a:ext cx="2000250" cy="1210828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Reduced concentration risk with expansion in new states</a:t>
          </a:r>
        </a:p>
      </xdr:txBody>
    </xdr:sp>
    <xdr:clientData/>
  </xdr:twoCellAnchor>
  <xdr:twoCellAnchor>
    <xdr:from>
      <xdr:col>15</xdr:col>
      <xdr:colOff>59531</xdr:colOff>
      <xdr:row>63</xdr:row>
      <xdr:rowOff>142876</xdr:rowOff>
    </xdr:from>
    <xdr:to>
      <xdr:col>18</xdr:col>
      <xdr:colOff>238125</xdr:colOff>
      <xdr:row>66</xdr:row>
      <xdr:rowOff>192149</xdr:rowOff>
    </xdr:to>
    <xdr:sp macro="" textlink="">
      <xdr:nvSpPr>
        <xdr:cNvPr id="13" name="TextBox 37">
          <a:extLst>
            <a:ext uri="{FF2B5EF4-FFF2-40B4-BE49-F238E27FC236}">
              <a16:creationId xmlns:a16="http://schemas.microsoft.com/office/drawing/2014/main" id="{1C8A8257-92D6-4070-A283-CAED29536ABA}"/>
            </a:ext>
          </a:extLst>
        </xdr:cNvPr>
        <xdr:cNvSpPr txBox="1"/>
      </xdr:nvSpPr>
      <xdr:spPr>
        <a:xfrm>
          <a:off x="8965406" y="15930564"/>
          <a:ext cx="2000250" cy="656491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Best in class asset quality</a:t>
          </a:r>
        </a:p>
      </xdr:txBody>
    </xdr:sp>
    <xdr:clientData/>
  </xdr:twoCellAnchor>
  <xdr:twoCellAnchor>
    <xdr:from>
      <xdr:col>15</xdr:col>
      <xdr:colOff>92867</xdr:colOff>
      <xdr:row>80</xdr:row>
      <xdr:rowOff>188120</xdr:rowOff>
    </xdr:from>
    <xdr:to>
      <xdr:col>18</xdr:col>
      <xdr:colOff>535781</xdr:colOff>
      <xdr:row>84</xdr:row>
      <xdr:rowOff>34988</xdr:rowOff>
    </xdr:to>
    <xdr:sp macro="" textlink="">
      <xdr:nvSpPr>
        <xdr:cNvPr id="14" name="TextBox 37">
          <a:extLst>
            <a:ext uri="{FF2B5EF4-FFF2-40B4-BE49-F238E27FC236}">
              <a16:creationId xmlns:a16="http://schemas.microsoft.com/office/drawing/2014/main" id="{73D7A5A5-C5F2-4147-AF8F-0CB2C21AB296}"/>
            </a:ext>
          </a:extLst>
        </xdr:cNvPr>
        <xdr:cNvSpPr txBox="1"/>
      </xdr:nvSpPr>
      <xdr:spPr>
        <a:xfrm>
          <a:off x="8998742" y="19416714"/>
          <a:ext cx="2264570" cy="656493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&gt;2x NIM since FY21</a:t>
          </a:r>
        </a:p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&gt;2x PAT since FY21</a:t>
          </a:r>
        </a:p>
      </xdr:txBody>
    </xdr:sp>
    <xdr:clientData/>
  </xdr:twoCellAnchor>
  <xdr:twoCellAnchor>
    <xdr:from>
      <xdr:col>15</xdr:col>
      <xdr:colOff>267039</xdr:colOff>
      <xdr:row>111</xdr:row>
      <xdr:rowOff>162822</xdr:rowOff>
    </xdr:from>
    <xdr:to>
      <xdr:col>18</xdr:col>
      <xdr:colOff>581704</xdr:colOff>
      <xdr:row>115</xdr:row>
      <xdr:rowOff>9689</xdr:rowOff>
    </xdr:to>
    <xdr:sp macro="" textlink="">
      <xdr:nvSpPr>
        <xdr:cNvPr id="15" name="TextBox 37">
          <a:extLst>
            <a:ext uri="{FF2B5EF4-FFF2-40B4-BE49-F238E27FC236}">
              <a16:creationId xmlns:a16="http://schemas.microsoft.com/office/drawing/2014/main" id="{5A852BC6-9199-45DE-997A-426ED06ADA40}"/>
            </a:ext>
          </a:extLst>
        </xdr:cNvPr>
        <xdr:cNvSpPr txBox="1"/>
      </xdr:nvSpPr>
      <xdr:spPr>
        <a:xfrm>
          <a:off x="9247753" y="22818715"/>
          <a:ext cx="2151630" cy="663295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Diversified AuM across states </a:t>
          </a:r>
        </a:p>
      </xdr:txBody>
    </xdr:sp>
    <xdr:clientData/>
  </xdr:twoCellAnchor>
  <xdr:twoCellAnchor>
    <xdr:from>
      <xdr:col>15</xdr:col>
      <xdr:colOff>150018</xdr:colOff>
      <xdr:row>94</xdr:row>
      <xdr:rowOff>126208</xdr:rowOff>
    </xdr:from>
    <xdr:to>
      <xdr:col>18</xdr:col>
      <xdr:colOff>592932</xdr:colOff>
      <xdr:row>97</xdr:row>
      <xdr:rowOff>175481</xdr:rowOff>
    </xdr:to>
    <xdr:sp macro="" textlink="">
      <xdr:nvSpPr>
        <xdr:cNvPr id="19" name="TextBox 37">
          <a:extLst>
            <a:ext uri="{FF2B5EF4-FFF2-40B4-BE49-F238E27FC236}">
              <a16:creationId xmlns:a16="http://schemas.microsoft.com/office/drawing/2014/main" id="{98DFC1C2-738B-4C20-BC3F-A40D544ED0F3}"/>
            </a:ext>
          </a:extLst>
        </xdr:cNvPr>
        <xdr:cNvSpPr txBox="1"/>
      </xdr:nvSpPr>
      <xdr:spPr>
        <a:xfrm>
          <a:off x="9055893" y="22188489"/>
          <a:ext cx="2264570" cy="656492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2.75x shareholder value since FY19</a:t>
          </a:r>
        </a:p>
      </xdr:txBody>
    </xdr:sp>
    <xdr:clientData/>
  </xdr:twoCellAnchor>
  <xdr:twoCellAnchor>
    <xdr:from>
      <xdr:col>0</xdr:col>
      <xdr:colOff>0</xdr:colOff>
      <xdr:row>142</xdr:row>
      <xdr:rowOff>27861</xdr:rowOff>
    </xdr:from>
    <xdr:to>
      <xdr:col>6</xdr:col>
      <xdr:colOff>339094</xdr:colOff>
      <xdr:row>154</xdr:row>
      <xdr:rowOff>118986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2D93759-B3FB-3CB7-8F0E-CDBA1C7DF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28826</xdr:colOff>
      <xdr:row>143</xdr:row>
      <xdr:rowOff>114851</xdr:rowOff>
    </xdr:from>
    <xdr:to>
      <xdr:col>6</xdr:col>
      <xdr:colOff>367920</xdr:colOff>
      <xdr:row>148</xdr:row>
      <xdr:rowOff>182820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7C008660-8F96-188B-5029-F17EDE2EF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21863</xdr:colOff>
      <xdr:row>142</xdr:row>
      <xdr:rowOff>47626</xdr:rowOff>
    </xdr:from>
    <xdr:to>
      <xdr:col>13</xdr:col>
      <xdr:colOff>158550</xdr:colOff>
      <xdr:row>154</xdr:row>
      <xdr:rowOff>138751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4334C01C-FC96-1339-9C28-FB7886FB7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92556</xdr:colOff>
      <xdr:row>141</xdr:row>
      <xdr:rowOff>109370</xdr:rowOff>
    </xdr:from>
    <xdr:to>
      <xdr:col>6</xdr:col>
      <xdr:colOff>431650</xdr:colOff>
      <xdr:row>142</xdr:row>
      <xdr:rowOff>204106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B682454E-ADF3-706B-2818-749C64462E6A}"/>
            </a:ext>
          </a:extLst>
        </xdr:cNvPr>
        <xdr:cNvGrpSpPr/>
      </xdr:nvGrpSpPr>
      <xdr:grpSpPr>
        <a:xfrm>
          <a:off x="92556" y="28888477"/>
          <a:ext cx="3808915" cy="298843"/>
          <a:chOff x="7902624" y="6109387"/>
          <a:chExt cx="4418699" cy="289005"/>
        </a:xfrm>
      </xdr:grpSpPr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E2736E28-25F7-BDE3-86B0-0480FA80346F}"/>
              </a:ext>
            </a:extLst>
          </xdr:cNvPr>
          <xdr:cNvGrpSpPr/>
        </xdr:nvGrpSpPr>
        <xdr:grpSpPr>
          <a:xfrm>
            <a:off x="7902624" y="6109387"/>
            <a:ext cx="2548776" cy="282193"/>
            <a:chOff x="7902624" y="6109387"/>
            <a:chExt cx="2548776" cy="282193"/>
          </a:xfrm>
        </xdr:grpSpPr>
        <xdr:sp macro="" textlink="">
          <xdr:nvSpPr>
            <xdr:cNvPr id="42" name="TextBox 80">
              <a:extLst>
                <a:ext uri="{FF2B5EF4-FFF2-40B4-BE49-F238E27FC236}">
                  <a16:creationId xmlns:a16="http://schemas.microsoft.com/office/drawing/2014/main" id="{9910D277-F1C3-2250-0E4A-5875C350456A}"/>
                </a:ext>
              </a:extLst>
            </xdr:cNvPr>
            <xdr:cNvSpPr txBox="1"/>
          </xdr:nvSpPr>
          <xdr:spPr>
            <a:xfrm>
              <a:off x="8145373" y="6109387"/>
              <a:ext cx="2306027" cy="28219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 kern="1200">
                  <a:latin typeface="Aptos Display" panose="020B0004020202020204" pitchFamily="34" charset="0"/>
                </a:rPr>
                <a:t>Disbursement</a:t>
              </a:r>
              <a:r>
                <a:rPr lang="en-US" sz="1200" b="1" kern="1200"/>
                <a:t>/branch</a:t>
              </a:r>
              <a:endParaRPr lang="en-IN" sz="1200"/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4B8F7DD4-B31E-38C6-317B-F9A8CA15221A}"/>
                </a:ext>
              </a:extLst>
            </xdr:cNvPr>
            <xdr:cNvSpPr/>
          </xdr:nvSpPr>
          <xdr:spPr>
            <a:xfrm>
              <a:off x="7902624" y="6156429"/>
              <a:ext cx="270000" cy="180000"/>
            </a:xfrm>
            <a:prstGeom prst="rect">
              <a:avLst/>
            </a:prstGeom>
            <a:solidFill>
              <a:srgbClr val="293895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IN" sz="1200"/>
            </a:p>
          </xdr:txBody>
        </xdr:sp>
      </xdr:grpSp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D9715F57-EC6C-542C-AD33-325E7BF0187E}"/>
              </a:ext>
            </a:extLst>
          </xdr:cNvPr>
          <xdr:cNvGrpSpPr/>
        </xdr:nvGrpSpPr>
        <xdr:grpSpPr>
          <a:xfrm>
            <a:off x="10577263" y="6118187"/>
            <a:ext cx="1744060" cy="280205"/>
            <a:chOff x="10577263" y="6118187"/>
            <a:chExt cx="1744060" cy="280205"/>
          </a:xfrm>
        </xdr:grpSpPr>
        <xdr:sp macro="" textlink="">
          <xdr:nvSpPr>
            <xdr:cNvPr id="38" name="TextBox 81">
              <a:extLst>
                <a:ext uri="{FF2B5EF4-FFF2-40B4-BE49-F238E27FC236}">
                  <a16:creationId xmlns:a16="http://schemas.microsoft.com/office/drawing/2014/main" id="{6F770D25-9EA3-8F79-2783-E9E3DA72CFD2}"/>
                </a:ext>
              </a:extLst>
            </xdr:cNvPr>
            <xdr:cNvSpPr txBox="1"/>
          </xdr:nvSpPr>
          <xdr:spPr>
            <a:xfrm>
              <a:off x="10919837" y="6118187"/>
              <a:ext cx="1401486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 kern="1200">
                  <a:latin typeface="Aptos Display" panose="020B0004020202020204" pitchFamily="34" charset="0"/>
                </a:rPr>
                <a:t>AuM/branch</a:t>
              </a:r>
              <a:endParaRPr lang="en-IN" sz="1200">
                <a:latin typeface="Aptos Display" panose="020B0004020202020204" pitchFamily="34" charset="0"/>
              </a:endParaRPr>
            </a:p>
          </xdr:txBody>
        </xdr:sp>
        <xdr:grpSp>
          <xdr:nvGrpSpPr>
            <xdr:cNvPr id="39" name="Group 38">
              <a:extLst>
                <a:ext uri="{FF2B5EF4-FFF2-40B4-BE49-F238E27FC236}">
                  <a16:creationId xmlns:a16="http://schemas.microsoft.com/office/drawing/2014/main" id="{580E1399-BB85-A004-A11E-49D590E3B3EF}"/>
                </a:ext>
              </a:extLst>
            </xdr:cNvPr>
            <xdr:cNvGrpSpPr/>
          </xdr:nvGrpSpPr>
          <xdr:grpSpPr>
            <a:xfrm>
              <a:off x="10577263" y="6191951"/>
              <a:ext cx="360000" cy="108000"/>
              <a:chOff x="10577263" y="6191951"/>
              <a:chExt cx="360000" cy="108000"/>
            </a:xfrm>
          </xdr:grpSpPr>
          <xdr:sp macro="" textlink="">
            <xdr:nvSpPr>
              <xdr:cNvPr id="40" name="Rectangle 39">
                <a:extLst>
                  <a:ext uri="{FF2B5EF4-FFF2-40B4-BE49-F238E27FC236}">
                    <a16:creationId xmlns:a16="http://schemas.microsoft.com/office/drawing/2014/main" id="{C1AD95F6-993C-7577-E54E-FA5A5BDBD7BB}"/>
                  </a:ext>
                </a:extLst>
              </xdr:cNvPr>
              <xdr:cNvSpPr/>
            </xdr:nvSpPr>
            <xdr:spPr>
              <a:xfrm>
                <a:off x="10577263" y="6224745"/>
                <a:ext cx="360000" cy="54000"/>
              </a:xfrm>
              <a:prstGeom prst="rect">
                <a:avLst/>
              </a:prstGeom>
              <a:solidFill>
                <a:srgbClr val="C00000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IN" sz="1200">
                  <a:solidFill>
                    <a:srgbClr val="C00000"/>
                  </a:solidFill>
                </a:endParaRPr>
              </a:p>
            </xdr:txBody>
          </xdr:sp>
          <xdr:sp macro="" textlink="">
            <xdr:nvSpPr>
              <xdr:cNvPr id="41" name="Oval 40">
                <a:extLst>
                  <a:ext uri="{FF2B5EF4-FFF2-40B4-BE49-F238E27FC236}">
                    <a16:creationId xmlns:a16="http://schemas.microsoft.com/office/drawing/2014/main" id="{4D20AE23-1F3A-0B42-0AD1-710F4384B6C2}"/>
                  </a:ext>
                </a:extLst>
              </xdr:cNvPr>
              <xdr:cNvSpPr/>
            </xdr:nvSpPr>
            <xdr:spPr>
              <a:xfrm>
                <a:off x="10685399" y="6191951"/>
                <a:ext cx="108000" cy="108000"/>
              </a:xfrm>
              <a:prstGeom prst="ellipse">
                <a:avLst/>
              </a:prstGeom>
              <a:solidFill>
                <a:srgbClr val="C00000"/>
              </a:solidFill>
              <a:ln>
                <a:solidFill>
                  <a:srgbClr val="C0000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IN" sz="1200"/>
              </a:p>
            </xdr:txBody>
          </xdr:sp>
        </xdr:grpSp>
      </xdr:grpSp>
    </xdr:grpSp>
    <xdr:clientData/>
  </xdr:twoCellAnchor>
  <xdr:twoCellAnchor>
    <xdr:from>
      <xdr:col>7</xdr:col>
      <xdr:colOff>125892</xdr:colOff>
      <xdr:row>141</xdr:row>
      <xdr:rowOff>142709</xdr:rowOff>
    </xdr:from>
    <xdr:to>
      <xdr:col>13</xdr:col>
      <xdr:colOff>262579</xdr:colOff>
      <xdr:row>143</xdr:row>
      <xdr:rowOff>26901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2CF1E719-8653-4E47-8D42-A79C3D2A2987}"/>
            </a:ext>
          </a:extLst>
        </xdr:cNvPr>
        <xdr:cNvGrpSpPr/>
      </xdr:nvGrpSpPr>
      <xdr:grpSpPr>
        <a:xfrm>
          <a:off x="4208035" y="28921816"/>
          <a:ext cx="3810615" cy="292406"/>
          <a:chOff x="7902624" y="6109387"/>
          <a:chExt cx="4418699" cy="289005"/>
        </a:xfrm>
      </xdr:grpSpPr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6F4D1930-4DCE-C8D3-BA63-8927B3D24504}"/>
              </a:ext>
            </a:extLst>
          </xdr:cNvPr>
          <xdr:cNvGrpSpPr/>
        </xdr:nvGrpSpPr>
        <xdr:grpSpPr>
          <a:xfrm>
            <a:off x="7902624" y="6109387"/>
            <a:ext cx="2548776" cy="282193"/>
            <a:chOff x="7902624" y="6109387"/>
            <a:chExt cx="2548776" cy="282193"/>
          </a:xfrm>
        </xdr:grpSpPr>
        <xdr:sp macro="" textlink="">
          <xdr:nvSpPr>
            <xdr:cNvPr id="51" name="TextBox 80">
              <a:extLst>
                <a:ext uri="{FF2B5EF4-FFF2-40B4-BE49-F238E27FC236}">
                  <a16:creationId xmlns:a16="http://schemas.microsoft.com/office/drawing/2014/main" id="{9BC8A1C9-FAFC-396F-C22C-24C30A949030}"/>
                </a:ext>
              </a:extLst>
            </xdr:cNvPr>
            <xdr:cNvSpPr txBox="1"/>
          </xdr:nvSpPr>
          <xdr:spPr>
            <a:xfrm>
              <a:off x="8145373" y="6109387"/>
              <a:ext cx="2306027" cy="28219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 kern="1200">
                  <a:latin typeface="Aptos Display" panose="020B0004020202020204" pitchFamily="34" charset="0"/>
                </a:rPr>
                <a:t>Disbursement</a:t>
              </a:r>
              <a:r>
                <a:rPr lang="en-US" sz="1200" b="1" kern="1200"/>
                <a:t>/Employee</a:t>
              </a:r>
              <a:endParaRPr lang="en-IN" sz="1200"/>
            </a:p>
          </xdr:txBody>
        </xdr:sp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4FA9F3FD-8BA2-F329-71A4-B1B790C663E2}"/>
                </a:ext>
              </a:extLst>
            </xdr:cNvPr>
            <xdr:cNvSpPr/>
          </xdr:nvSpPr>
          <xdr:spPr>
            <a:xfrm>
              <a:off x="7902624" y="6156429"/>
              <a:ext cx="270000" cy="180000"/>
            </a:xfrm>
            <a:prstGeom prst="rect">
              <a:avLst/>
            </a:prstGeom>
            <a:solidFill>
              <a:srgbClr val="293895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IN" sz="1200"/>
            </a:p>
          </xdr:txBody>
        </xdr:sp>
      </xdr:grpSp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26F09920-7C87-8CB6-FABC-4F9B76853CF5}"/>
              </a:ext>
            </a:extLst>
          </xdr:cNvPr>
          <xdr:cNvGrpSpPr/>
        </xdr:nvGrpSpPr>
        <xdr:grpSpPr>
          <a:xfrm>
            <a:off x="10577263" y="6118187"/>
            <a:ext cx="1744060" cy="280205"/>
            <a:chOff x="10577263" y="6118187"/>
            <a:chExt cx="1744060" cy="280205"/>
          </a:xfrm>
        </xdr:grpSpPr>
        <xdr:sp macro="" textlink="">
          <xdr:nvSpPr>
            <xdr:cNvPr id="47" name="TextBox 81">
              <a:extLst>
                <a:ext uri="{FF2B5EF4-FFF2-40B4-BE49-F238E27FC236}">
                  <a16:creationId xmlns:a16="http://schemas.microsoft.com/office/drawing/2014/main" id="{CF73C087-7C46-FBA4-998F-5A31913D5964}"/>
                </a:ext>
              </a:extLst>
            </xdr:cNvPr>
            <xdr:cNvSpPr txBox="1"/>
          </xdr:nvSpPr>
          <xdr:spPr>
            <a:xfrm>
              <a:off x="10919837" y="6118187"/>
              <a:ext cx="1401486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 kern="1200">
                  <a:latin typeface="Aptos Display" panose="020B0004020202020204" pitchFamily="34" charset="0"/>
                </a:rPr>
                <a:t>AuM/Employee</a:t>
              </a:r>
              <a:endParaRPr lang="en-IN" sz="1200">
                <a:latin typeface="Aptos Display" panose="020B0004020202020204" pitchFamily="34" charset="0"/>
              </a:endParaRPr>
            </a:p>
          </xdr:txBody>
        </xdr:sp>
        <xdr:grpSp>
          <xdr:nvGrpSpPr>
            <xdr:cNvPr id="48" name="Group 47">
              <a:extLst>
                <a:ext uri="{FF2B5EF4-FFF2-40B4-BE49-F238E27FC236}">
                  <a16:creationId xmlns:a16="http://schemas.microsoft.com/office/drawing/2014/main" id="{90B9A37B-2BF2-8001-CE20-2E820F0674CF}"/>
                </a:ext>
              </a:extLst>
            </xdr:cNvPr>
            <xdr:cNvGrpSpPr/>
          </xdr:nvGrpSpPr>
          <xdr:grpSpPr>
            <a:xfrm>
              <a:off x="10577263" y="6191951"/>
              <a:ext cx="360000" cy="108000"/>
              <a:chOff x="10577263" y="6191951"/>
              <a:chExt cx="360000" cy="108000"/>
            </a:xfrm>
          </xdr:grpSpPr>
          <xdr:sp macro="" textlink="">
            <xdr:nvSpPr>
              <xdr:cNvPr id="49" name="Rectangle 48">
                <a:extLst>
                  <a:ext uri="{FF2B5EF4-FFF2-40B4-BE49-F238E27FC236}">
                    <a16:creationId xmlns:a16="http://schemas.microsoft.com/office/drawing/2014/main" id="{FEA25681-F10E-8265-4E67-E51F85BAA5C2}"/>
                  </a:ext>
                </a:extLst>
              </xdr:cNvPr>
              <xdr:cNvSpPr/>
            </xdr:nvSpPr>
            <xdr:spPr>
              <a:xfrm>
                <a:off x="10577263" y="6224745"/>
                <a:ext cx="360000" cy="54000"/>
              </a:xfrm>
              <a:prstGeom prst="rect">
                <a:avLst/>
              </a:prstGeom>
              <a:solidFill>
                <a:srgbClr val="C00000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IN" sz="1200">
                  <a:solidFill>
                    <a:srgbClr val="C00000"/>
                  </a:solidFill>
                </a:endParaRPr>
              </a:p>
            </xdr:txBody>
          </xdr:sp>
          <xdr:sp macro="" textlink="">
            <xdr:nvSpPr>
              <xdr:cNvPr id="50" name="Oval 49">
                <a:extLst>
                  <a:ext uri="{FF2B5EF4-FFF2-40B4-BE49-F238E27FC236}">
                    <a16:creationId xmlns:a16="http://schemas.microsoft.com/office/drawing/2014/main" id="{4AC7933C-9ECE-5EC2-F46A-12BF841EB8E8}"/>
                  </a:ext>
                </a:extLst>
              </xdr:cNvPr>
              <xdr:cNvSpPr/>
            </xdr:nvSpPr>
            <xdr:spPr>
              <a:xfrm>
                <a:off x="10685399" y="6191951"/>
                <a:ext cx="108000" cy="108000"/>
              </a:xfrm>
              <a:prstGeom prst="ellipse">
                <a:avLst/>
              </a:prstGeom>
              <a:solidFill>
                <a:srgbClr val="C00000"/>
              </a:solidFill>
              <a:ln>
                <a:solidFill>
                  <a:srgbClr val="C00000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en-IN" sz="1200"/>
              </a:p>
            </xdr:txBody>
          </xdr:sp>
        </xdr:grpSp>
      </xdr:grpSp>
    </xdr:grpSp>
    <xdr:clientData/>
  </xdr:twoCellAnchor>
  <xdr:twoCellAnchor>
    <xdr:from>
      <xdr:col>15</xdr:col>
      <xdr:colOff>371812</xdr:colOff>
      <xdr:row>144</xdr:row>
      <xdr:rowOff>106014</xdr:rowOff>
    </xdr:from>
    <xdr:to>
      <xdr:col>19</xdr:col>
      <xdr:colOff>290850</xdr:colOff>
      <xdr:row>150</xdr:row>
      <xdr:rowOff>102405</xdr:rowOff>
    </xdr:to>
    <xdr:sp macro="" textlink="">
      <xdr:nvSpPr>
        <xdr:cNvPr id="53" name="TextBox 37">
          <a:extLst>
            <a:ext uri="{FF2B5EF4-FFF2-40B4-BE49-F238E27FC236}">
              <a16:creationId xmlns:a16="http://schemas.microsoft.com/office/drawing/2014/main" id="{CCEFD498-6545-485F-B250-E3CE7D431ED3}"/>
            </a:ext>
          </a:extLst>
        </xdr:cNvPr>
        <xdr:cNvSpPr txBox="1"/>
      </xdr:nvSpPr>
      <xdr:spPr>
        <a:xfrm>
          <a:off x="9352526" y="29497443"/>
          <a:ext cx="2368324" cy="1221033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Steady improvement in the productivity both at branch and employee level</a:t>
          </a: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13</xdr:col>
      <xdr:colOff>228562</xdr:colOff>
      <xdr:row>138</xdr:row>
      <xdr:rowOff>91125</xdr:rowOff>
    </xdr:to>
    <xdr:graphicFrame macro="">
      <xdr:nvGraphicFramePr>
        <xdr:cNvPr id="56" name="Chart 55">
          <a:extLst>
            <a:ext uri="{FF2B5EF4-FFF2-40B4-BE49-F238E27FC236}">
              <a16:creationId xmlns:a16="http://schemas.microsoft.com/office/drawing/2014/main" id="{B7BD68D7-1F6C-4BF3-8580-2978D66C9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238463</xdr:colOff>
      <xdr:row>130</xdr:row>
      <xdr:rowOff>21990</xdr:rowOff>
    </xdr:from>
    <xdr:to>
      <xdr:col>19</xdr:col>
      <xdr:colOff>157501</xdr:colOff>
      <xdr:row>133</xdr:row>
      <xdr:rowOff>71263</xdr:rowOff>
    </xdr:to>
    <xdr:sp macro="" textlink="">
      <xdr:nvSpPr>
        <xdr:cNvPr id="57" name="TextBox 37">
          <a:extLst>
            <a:ext uri="{FF2B5EF4-FFF2-40B4-BE49-F238E27FC236}">
              <a16:creationId xmlns:a16="http://schemas.microsoft.com/office/drawing/2014/main" id="{37682D72-0AE0-4BD0-BE77-739BE17D5724}"/>
            </a:ext>
          </a:extLst>
        </xdr:cNvPr>
        <xdr:cNvSpPr txBox="1"/>
      </xdr:nvSpPr>
      <xdr:spPr>
        <a:xfrm>
          <a:off x="9219177" y="26555919"/>
          <a:ext cx="2368324" cy="661594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Endeavour to maintain spreads of ~5%</a:t>
          </a:r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6</xdr:col>
      <xdr:colOff>339094</xdr:colOff>
      <xdr:row>168</xdr:row>
      <xdr:rowOff>91125</xdr:rowOff>
    </xdr:to>
    <xdr:graphicFrame macro="">
      <xdr:nvGraphicFramePr>
        <xdr:cNvPr id="58" name="Chart 57">
          <a:extLst>
            <a:ext uri="{FF2B5EF4-FFF2-40B4-BE49-F238E27FC236}">
              <a16:creationId xmlns:a16="http://schemas.microsoft.com/office/drawing/2014/main" id="{5E57B194-D356-41CB-BE17-FFB2E54C2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476252</xdr:colOff>
      <xdr:row>156</xdr:row>
      <xdr:rowOff>11906</xdr:rowOff>
    </xdr:from>
    <xdr:to>
      <xdr:col>13</xdr:col>
      <xdr:colOff>5720</xdr:colOff>
      <xdr:row>168</xdr:row>
      <xdr:rowOff>67313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D74B41E0-4785-482E-95F5-F3E8F6DBC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383039</xdr:colOff>
      <xdr:row>157</xdr:row>
      <xdr:rowOff>100230</xdr:rowOff>
    </xdr:from>
    <xdr:to>
      <xdr:col>19</xdr:col>
      <xdr:colOff>302077</xdr:colOff>
      <xdr:row>162</xdr:row>
      <xdr:rowOff>21859</xdr:rowOff>
    </xdr:to>
    <xdr:sp macro="" textlink="">
      <xdr:nvSpPr>
        <xdr:cNvPr id="63" name="TextBox 37">
          <a:extLst>
            <a:ext uri="{FF2B5EF4-FFF2-40B4-BE49-F238E27FC236}">
              <a16:creationId xmlns:a16="http://schemas.microsoft.com/office/drawing/2014/main" id="{814B1997-FEBE-4422-AB3F-007733AF9971}"/>
            </a:ext>
          </a:extLst>
        </xdr:cNvPr>
        <xdr:cNvSpPr txBox="1"/>
      </xdr:nvSpPr>
      <xdr:spPr>
        <a:xfrm>
          <a:off x="9363753" y="32145051"/>
          <a:ext cx="2368324" cy="942165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Significant reduction in Opex/Total &amp; Opex/AuM</a:t>
          </a:r>
        </a:p>
      </xdr:txBody>
    </xdr:sp>
    <xdr:clientData/>
  </xdr:twoCellAnchor>
  <xdr:twoCellAnchor>
    <xdr:from>
      <xdr:col>0</xdr:col>
      <xdr:colOff>0</xdr:colOff>
      <xdr:row>171</xdr:row>
      <xdr:rowOff>119062</xdr:rowOff>
    </xdr:from>
    <xdr:to>
      <xdr:col>6</xdr:col>
      <xdr:colOff>339094</xdr:colOff>
      <xdr:row>184</xdr:row>
      <xdr:rowOff>7781</xdr:rowOff>
    </xdr:to>
    <xdr:graphicFrame macro="">
      <xdr:nvGraphicFramePr>
        <xdr:cNvPr id="64" name="Chart 63">
          <a:extLst>
            <a:ext uri="{FF2B5EF4-FFF2-40B4-BE49-F238E27FC236}">
              <a16:creationId xmlns:a16="http://schemas.microsoft.com/office/drawing/2014/main" id="{E0CC5277-B0E9-489C-AE22-8AAA30F09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571501</xdr:colOff>
      <xdr:row>171</xdr:row>
      <xdr:rowOff>142874</xdr:rowOff>
    </xdr:from>
    <xdr:to>
      <xdr:col>13</xdr:col>
      <xdr:colOff>100969</xdr:colOff>
      <xdr:row>184</xdr:row>
      <xdr:rowOff>31593</xdr:rowOff>
    </xdr:to>
    <xdr:graphicFrame macro="">
      <xdr:nvGraphicFramePr>
        <xdr:cNvPr id="65" name="Chart 64">
          <a:extLst>
            <a:ext uri="{FF2B5EF4-FFF2-40B4-BE49-F238E27FC236}">
              <a16:creationId xmlns:a16="http://schemas.microsoft.com/office/drawing/2014/main" id="{C4B3E62A-A575-41E3-AB11-52974BD78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435087</xdr:colOff>
      <xdr:row>173</xdr:row>
      <xdr:rowOff>111456</xdr:rowOff>
    </xdr:from>
    <xdr:to>
      <xdr:col>19</xdr:col>
      <xdr:colOff>354125</xdr:colOff>
      <xdr:row>178</xdr:row>
      <xdr:rowOff>33085</xdr:rowOff>
    </xdr:to>
    <xdr:sp macro="" textlink="">
      <xdr:nvSpPr>
        <xdr:cNvPr id="66" name="TextBox 37">
          <a:extLst>
            <a:ext uri="{FF2B5EF4-FFF2-40B4-BE49-F238E27FC236}">
              <a16:creationId xmlns:a16="http://schemas.microsoft.com/office/drawing/2014/main" id="{7D5D3B2D-86A9-4DD5-834E-22FBA64A3E54}"/>
            </a:ext>
          </a:extLst>
        </xdr:cNvPr>
        <xdr:cNvSpPr txBox="1"/>
      </xdr:nvSpPr>
      <xdr:spPr>
        <a:xfrm>
          <a:off x="9415801" y="35421992"/>
          <a:ext cx="2368324" cy="942164"/>
        </a:xfrm>
        <a:prstGeom prst="roundRect">
          <a:avLst/>
        </a:prstGeom>
        <a:solidFill>
          <a:srgbClr val="D2DFF0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N" sz="1600" b="1" baseline="0">
              <a:solidFill>
                <a:srgbClr val="293895"/>
              </a:solidFill>
              <a:latin typeface="Aptos" panose="020B0004020202020204" pitchFamily="34" charset="0"/>
              <a:cs typeface="Iskoola Pota" panose="020B0502040204020203" pitchFamily="34" charset="0"/>
            </a:rPr>
            <a:t>Consistent profitability across cycles</a:t>
          </a:r>
        </a:p>
      </xdr:txBody>
    </xdr:sp>
    <xdr:clientData/>
  </xdr:twoCellAnchor>
  <xdr:twoCellAnchor>
    <xdr:from>
      <xdr:col>0</xdr:col>
      <xdr:colOff>0</xdr:colOff>
      <xdr:row>187</xdr:row>
      <xdr:rowOff>83344</xdr:rowOff>
    </xdr:from>
    <xdr:to>
      <xdr:col>6</xdr:col>
      <xdr:colOff>339094</xdr:colOff>
      <xdr:row>200</xdr:row>
      <xdr:rowOff>195263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B3A6AD-80C7-425F-874E-1448CA63A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142875</xdr:colOff>
      <xdr:row>106</xdr:row>
      <xdr:rowOff>83344</xdr:rowOff>
    </xdr:from>
    <xdr:to>
      <xdr:col>7</xdr:col>
      <xdr:colOff>404811</xdr:colOff>
      <xdr:row>124</xdr:row>
      <xdr:rowOff>40031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942367E-08B6-4748-ACA0-28B0D49A7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29840\Downloads\Test%201.xlsx" TargetMode="External"/><Relationship Id="rId1" Type="http://schemas.openxmlformats.org/officeDocument/2006/relationships/externalLinkPath" Target="file:///C:\Users\529840\Downloads\Test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erational"/>
      <sheetName val="Credit Quality"/>
      <sheetName val="Yields, Margins &amp; Ratios"/>
      <sheetName val="Liabilities"/>
    </sheetNames>
    <sheetDataSet>
      <sheetData sheetId="0"/>
      <sheetData sheetId="1"/>
      <sheetData sheetId="2">
        <row r="5">
          <cell r="B5" t="str">
            <v xml:space="preserve">Yield </v>
          </cell>
        </row>
        <row r="6">
          <cell r="B6" t="str">
            <v>CoB</v>
          </cell>
        </row>
        <row r="7">
          <cell r="B7" t="str">
            <v>Spread</v>
          </cell>
        </row>
        <row r="14">
          <cell r="B14" t="str">
            <v>Operating Expenses to Average Total Assets</v>
          </cell>
        </row>
        <row r="15">
          <cell r="F15">
            <v>1.6448963322227349E-3</v>
          </cell>
        </row>
        <row r="23">
          <cell r="B23" t="str">
            <v>Operating expenses / AUM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B71"/>
  <sheetViews>
    <sheetView showGridLines="0" tabSelected="1" zoomScale="80" zoomScaleNormal="80" workbookViewId="0"/>
  </sheetViews>
  <sheetFormatPr defaultRowHeight="15.75" x14ac:dyDescent="0.25"/>
  <cols>
    <col min="1" max="1" width="5.5703125" style="330" customWidth="1"/>
    <col min="2" max="2" width="61.42578125" style="330" bestFit="1" customWidth="1"/>
    <col min="3" max="16384" width="9.140625" style="330"/>
  </cols>
  <sheetData>
    <row r="10" spans="1:2" x14ac:dyDescent="0.25">
      <c r="A10" s="335">
        <v>1</v>
      </c>
      <c r="B10" s="336" t="s">
        <v>245</v>
      </c>
    </row>
    <row r="11" spans="1:2" x14ac:dyDescent="0.25">
      <c r="A11" s="335">
        <f>+A10+1</f>
        <v>2</v>
      </c>
      <c r="B11" s="336" t="s">
        <v>242</v>
      </c>
    </row>
    <row r="12" spans="1:2" x14ac:dyDescent="0.25">
      <c r="A12" s="335">
        <f>+A11+1</f>
        <v>3</v>
      </c>
      <c r="B12" s="336" t="s">
        <v>246</v>
      </c>
    </row>
    <row r="13" spans="1:2" x14ac:dyDescent="0.25">
      <c r="A13" s="335">
        <f>+A12+1</f>
        <v>4</v>
      </c>
      <c r="B13" s="336" t="s">
        <v>247</v>
      </c>
    </row>
    <row r="14" spans="1:2" x14ac:dyDescent="0.25">
      <c r="A14" s="335">
        <f>+A13+1</f>
        <v>5</v>
      </c>
      <c r="B14" s="336" t="s">
        <v>253</v>
      </c>
    </row>
    <row r="15" spans="1:2" x14ac:dyDescent="0.25">
      <c r="A15" s="335">
        <f>+A14+1</f>
        <v>6</v>
      </c>
      <c r="B15" s="336" t="s">
        <v>243</v>
      </c>
    </row>
    <row r="16" spans="1:2" x14ac:dyDescent="0.25">
      <c r="A16" s="335">
        <v>7</v>
      </c>
      <c r="B16" s="336" t="s">
        <v>244</v>
      </c>
    </row>
    <row r="18" spans="2:2" x14ac:dyDescent="0.25">
      <c r="B18" s="330" t="s">
        <v>248</v>
      </c>
    </row>
    <row r="71" spans="2:2" x14ac:dyDescent="0.25">
      <c r="B71" s="330" t="s">
        <v>249</v>
      </c>
    </row>
  </sheetData>
  <hyperlinks>
    <hyperlink ref="B10" location="'P&amp;L'!A1" display="Profit &amp; Loss Statement" xr:uid="{00000000-0004-0000-0000-000000000000}"/>
    <hyperlink ref="B11" location="BS!A1" display="Balance Sheet" xr:uid="{00000000-0004-0000-0000-000001000000}"/>
    <hyperlink ref="B12" location="Operational!A1" display="Operational Data" xr:uid="{00000000-0004-0000-0000-000002000000}"/>
    <hyperlink ref="B13" location="'Credit Quality'!A1" display="Credit Quality" xr:uid="{00000000-0004-0000-0000-000003000000}"/>
    <hyperlink ref="B14" location="'Yields, Margins &amp; Ratios'!A1" display="Yields, Margins &amp; Ratios" xr:uid="{00000000-0004-0000-0000-000004000000}"/>
    <hyperlink ref="B15" location="Liabilities!A1" display="Liabilities" xr:uid="{00000000-0004-0000-0000-000005000000}"/>
    <hyperlink ref="A10" location="'P&amp;L'!A1" display="'P&amp;L'!A1" xr:uid="{00000000-0004-0000-0000-000006000000}"/>
    <hyperlink ref="A11" location="BS!A1" display="BS!A1" xr:uid="{00000000-0004-0000-0000-000007000000}"/>
    <hyperlink ref="A12" location="Operational!A1" display="Operational!A1" xr:uid="{00000000-0004-0000-0000-000008000000}"/>
    <hyperlink ref="A13" location="'Credit Quality'!A1" display="'Credit Quality'!A1" xr:uid="{00000000-0004-0000-0000-000009000000}"/>
    <hyperlink ref="A14" location="'Yields, Margins &amp; Ratios'!A1" display="'Yields, Margins &amp; Ratios'!A1" xr:uid="{00000000-0004-0000-0000-00000A000000}"/>
    <hyperlink ref="A15" location="Liabilities!A1" display="Liabilities!A1" xr:uid="{00000000-0004-0000-0000-00000B000000}"/>
    <hyperlink ref="A16" location="'Story in Charts'!A1" display="'Story in Charts'!A1" xr:uid="{C3172913-AD90-430D-AA66-7B6B126FAF22}"/>
    <hyperlink ref="B16" location="'Story in Charts'!A1" display="Story in Charts" xr:uid="{103B5583-6A9C-43DF-A069-89B746F13DDF}"/>
  </hyperlinks>
  <printOptions horizontalCentered="1"/>
  <pageMargins left="0.7" right="0.7" top="0.75" bottom="0.75" header="0.3" footer="0.3"/>
  <pageSetup orientation="landscape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B966-0CE6-42D8-8731-5CC78BE711E1}">
  <sheetPr>
    <tabColor rgb="FF00B050"/>
  </sheetPr>
  <dimension ref="A1:P206"/>
  <sheetViews>
    <sheetView showGridLines="0" zoomScale="70" zoomScaleNormal="70" workbookViewId="0"/>
  </sheetViews>
  <sheetFormatPr defaultRowHeight="15.75" x14ac:dyDescent="0.25"/>
  <cols>
    <col min="1" max="1" width="6.140625" style="330" customWidth="1"/>
    <col min="2" max="16384" width="9.140625" style="330"/>
  </cols>
  <sheetData>
    <row r="1" spans="1:16" x14ac:dyDescent="0.25">
      <c r="A1" s="333" t="s">
        <v>0</v>
      </c>
      <c r="P1" s="329" t="s">
        <v>228</v>
      </c>
    </row>
    <row r="3" spans="1:16" x14ac:dyDescent="0.25">
      <c r="A3" s="329" t="s">
        <v>227</v>
      </c>
    </row>
    <row r="18" spans="1:1" x14ac:dyDescent="0.25">
      <c r="A18" s="331" t="s">
        <v>206</v>
      </c>
    </row>
    <row r="19" spans="1:1" x14ac:dyDescent="0.25">
      <c r="A19" s="331"/>
    </row>
    <row r="32" spans="1:1" x14ac:dyDescent="0.25">
      <c r="A32" s="331" t="s">
        <v>229</v>
      </c>
    </row>
    <row r="46" spans="1:1" x14ac:dyDescent="0.25">
      <c r="A46" s="331" t="s">
        <v>207</v>
      </c>
    </row>
    <row r="61" spans="1:1" x14ac:dyDescent="0.25">
      <c r="A61" s="331" t="s">
        <v>215</v>
      </c>
    </row>
    <row r="76" spans="1:1" x14ac:dyDescent="0.25">
      <c r="A76" s="331" t="s">
        <v>222</v>
      </c>
    </row>
    <row r="106" spans="1:1" x14ac:dyDescent="0.25">
      <c r="A106" s="331" t="s">
        <v>226</v>
      </c>
    </row>
    <row r="126" spans="1:1" x14ac:dyDescent="0.25">
      <c r="A126" s="331" t="s">
        <v>230</v>
      </c>
    </row>
    <row r="141" spans="1:1" x14ac:dyDescent="0.25">
      <c r="A141" s="331" t="s">
        <v>231</v>
      </c>
    </row>
    <row r="187" spans="1:1" x14ac:dyDescent="0.25">
      <c r="A187" s="331" t="s">
        <v>236</v>
      </c>
    </row>
    <row r="204" spans="1:1" x14ac:dyDescent="0.25">
      <c r="A204" s="331"/>
    </row>
    <row r="205" spans="1:1" x14ac:dyDescent="0.25">
      <c r="A205" s="331"/>
    </row>
    <row r="206" spans="1:1" x14ac:dyDescent="0.25">
      <c r="A206" s="331"/>
    </row>
  </sheetData>
  <hyperlinks>
    <hyperlink ref="A1" location="Index!A1" display="Index" xr:uid="{2ACC72BC-5B85-4606-BE44-8BEF5CC04097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4E35-0717-4716-9F02-5C64A69F105D}">
  <sheetPr>
    <tabColor rgb="FF00B050"/>
    <pageSetUpPr fitToPage="1"/>
  </sheetPr>
  <dimension ref="A1:AD413"/>
  <sheetViews>
    <sheetView showGridLines="0" view="pageBreakPreview" zoomScale="115" zoomScaleNormal="100" zoomScaleSheetLayoutView="115" workbookViewId="0"/>
  </sheetViews>
  <sheetFormatPr defaultColWidth="9.140625" defaultRowHeight="9" x14ac:dyDescent="0.15"/>
  <cols>
    <col min="1" max="1" width="4" style="610" bestFit="1" customWidth="1"/>
    <col min="2" max="2" width="38.85546875" style="609" bestFit="1" customWidth="1"/>
    <col min="3" max="4" width="9.7109375" style="610" bestFit="1" customWidth="1"/>
    <col min="5" max="5" width="9.28515625" style="610" bestFit="1" customWidth="1"/>
    <col min="6" max="7" width="8.28515625" style="610" bestFit="1" customWidth="1"/>
    <col min="8" max="9" width="8.85546875" style="610" bestFit="1" customWidth="1"/>
    <col min="10" max="11" width="8.140625" style="610" bestFit="1" customWidth="1"/>
    <col min="12" max="12" width="8.140625" style="612" bestFit="1" customWidth="1"/>
    <col min="13" max="13" width="8.42578125" style="612" bestFit="1" customWidth="1"/>
    <col min="14" max="14" width="8.140625" style="612" bestFit="1" customWidth="1"/>
    <col min="15" max="15" width="7.7109375" style="612" bestFit="1" customWidth="1"/>
    <col min="16" max="16" width="5.7109375" style="612" bestFit="1" customWidth="1"/>
    <col min="17" max="18" width="7.85546875" style="612" bestFit="1" customWidth="1"/>
    <col min="19" max="20" width="9.28515625" style="610" customWidth="1"/>
    <col min="21" max="21" width="7.140625" style="613" bestFit="1" customWidth="1"/>
    <col min="22" max="23" width="7.140625" style="612" bestFit="1" customWidth="1"/>
    <col min="24" max="27" width="7.85546875" style="612" bestFit="1" customWidth="1"/>
    <col min="28" max="28" width="6.42578125" style="612" bestFit="1" customWidth="1"/>
    <col min="29" max="29" width="6.5703125" style="610" bestFit="1" customWidth="1"/>
    <col min="30" max="30" width="7.7109375" style="610" bestFit="1" customWidth="1"/>
    <col min="31" max="16384" width="9.140625" style="610"/>
  </cols>
  <sheetData>
    <row r="1" spans="1:30" x14ac:dyDescent="0.15">
      <c r="A1" s="608" t="s">
        <v>0</v>
      </c>
      <c r="D1" s="611"/>
      <c r="E1" s="611"/>
      <c r="F1" s="611"/>
      <c r="G1" s="611"/>
    </row>
    <row r="2" spans="1:30" x14ac:dyDescent="0.15">
      <c r="B2" s="1112" t="s">
        <v>267</v>
      </c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1112"/>
      <c r="Q2" s="614"/>
      <c r="R2" s="614"/>
      <c r="S2" s="614"/>
      <c r="T2" s="614"/>
    </row>
    <row r="3" spans="1:30" x14ac:dyDescent="0.15">
      <c r="B3" s="615" t="s">
        <v>258</v>
      </c>
      <c r="C3" s="616"/>
    </row>
    <row r="4" spans="1:30" x14ac:dyDescent="0.15">
      <c r="B4" s="699" t="s">
        <v>160</v>
      </c>
      <c r="C4" s="740" t="s">
        <v>1</v>
      </c>
      <c r="D4" s="741" t="s">
        <v>2</v>
      </c>
      <c r="E4" s="741" t="s">
        <v>3</v>
      </c>
      <c r="F4" s="742" t="s">
        <v>96</v>
      </c>
      <c r="G4" s="741" t="s">
        <v>97</v>
      </c>
      <c r="H4" s="741" t="s">
        <v>131</v>
      </c>
      <c r="I4" s="741" t="s">
        <v>174</v>
      </c>
      <c r="J4" s="741" t="s">
        <v>238</v>
      </c>
      <c r="K4" s="740" t="s">
        <v>251</v>
      </c>
      <c r="L4" s="741" t="str">
        <f>'P&amp;L'!T4</f>
        <v>Q2FY26</v>
      </c>
      <c r="M4" s="741" t="str">
        <f>'P&amp;L'!U4</f>
        <v>Q3FY26</v>
      </c>
      <c r="N4" s="828" t="str">
        <f>'P&amp;L'!V4</f>
        <v>Q4FY26</v>
      </c>
      <c r="O4" s="828" t="str">
        <f>'P&amp;L'!W4</f>
        <v>Q1FY27</v>
      </c>
      <c r="P4" s="743" t="str">
        <f>'P&amp;L'!X4</f>
        <v>YoY</v>
      </c>
      <c r="Q4" s="743" t="str">
        <f>'P&amp;L'!Y4</f>
        <v>QoQ</v>
      </c>
      <c r="R4" s="613"/>
      <c r="S4" s="737"/>
      <c r="T4" s="737"/>
      <c r="U4" s="737"/>
      <c r="V4" s="737" t="s">
        <v>6</v>
      </c>
      <c r="W4" s="737" t="s">
        <v>7</v>
      </c>
      <c r="X4" s="737" t="s">
        <v>8</v>
      </c>
      <c r="Y4" s="737" t="s">
        <v>9</v>
      </c>
      <c r="Z4" s="739" t="s">
        <v>10</v>
      </c>
      <c r="AA4" s="610" t="s">
        <v>98</v>
      </c>
      <c r="AB4" s="610" t="s">
        <v>239</v>
      </c>
      <c r="AC4" s="610" t="s">
        <v>4</v>
      </c>
      <c r="AD4" s="610" t="s">
        <v>254</v>
      </c>
    </row>
    <row r="5" spans="1:30" s="621" customFormat="1" x14ac:dyDescent="0.15">
      <c r="B5" s="622" t="s">
        <v>11</v>
      </c>
      <c r="C5" s="623">
        <v>4668.5489148759261</v>
      </c>
      <c r="D5" s="624">
        <v>4974.4287652479497</v>
      </c>
      <c r="E5" s="624">
        <v>5091.9647483234176</v>
      </c>
      <c r="F5" s="625">
        <v>5468.0224039821551</v>
      </c>
      <c r="G5" s="626">
        <v>5425.5502270235929</v>
      </c>
      <c r="H5" s="624">
        <v>5804.5464180861036</v>
      </c>
      <c r="I5" s="624">
        <v>5979.1738075668063</v>
      </c>
      <c r="J5" s="625">
        <v>6374.8804639073423</v>
      </c>
      <c r="K5" s="624">
        <v>6279.3487469917554</v>
      </c>
      <c r="L5" s="624">
        <f>'P&amp;L'!T5</f>
        <v>6674.5139212239374</v>
      </c>
      <c r="M5" s="624">
        <f>'P&amp;L'!U5</f>
        <v>6746.1622091588242</v>
      </c>
      <c r="N5" s="624">
        <f>'P&amp;L'!V5</f>
        <v>7148.3232307517892</v>
      </c>
      <c r="O5" s="1098">
        <f>'P&amp;L'!W5</f>
        <v>7090.958130963455</v>
      </c>
      <c r="P5" s="627">
        <f>'P&amp;L'!X5</f>
        <v>0.1292505666866357</v>
      </c>
      <c r="Q5" s="628">
        <f>'P&amp;L'!Y5</f>
        <v>-8.0249728414003574E-3</v>
      </c>
      <c r="R5" s="629"/>
      <c r="V5" s="623">
        <v>7109.7259539049128</v>
      </c>
      <c r="W5" s="624">
        <v>9030.9409965760115</v>
      </c>
      <c r="X5" s="624">
        <v>11053.350142282952</v>
      </c>
      <c r="Y5" s="624">
        <v>13055.57975298107</v>
      </c>
      <c r="Z5" s="624">
        <v>16101.456425206798</v>
      </c>
      <c r="AA5" s="624">
        <v>20202.96</v>
      </c>
      <c r="AB5" s="624">
        <v>23584.150916583851</v>
      </c>
      <c r="AC5" s="630">
        <v>0.16736116472951745</v>
      </c>
      <c r="AD5" s="630">
        <v>0.22122184430983971</v>
      </c>
    </row>
    <row r="6" spans="1:30" s="631" customFormat="1" x14ac:dyDescent="0.15">
      <c r="B6" s="632" t="s">
        <v>102</v>
      </c>
      <c r="C6" s="633">
        <v>4427.1450069061257</v>
      </c>
      <c r="D6" s="634">
        <v>4593.2067386957497</v>
      </c>
      <c r="E6" s="634">
        <v>4723.9981437334163</v>
      </c>
      <c r="F6" s="635">
        <v>4971.093905022155</v>
      </c>
      <c r="G6" s="633">
        <v>5159.0315030035945</v>
      </c>
      <c r="H6" s="634">
        <v>5309.774898726102</v>
      </c>
      <c r="I6" s="634">
        <v>5540.9259580780836</v>
      </c>
      <c r="J6" s="635">
        <v>5777.5257262512969</v>
      </c>
      <c r="K6" s="634">
        <v>5921.2531367005367</v>
      </c>
      <c r="L6" s="634">
        <f>'P&amp;L'!T6</f>
        <v>5772.8814555083318</v>
      </c>
      <c r="M6" s="634">
        <f>'P&amp;L'!U6</f>
        <v>5917.4280401082497</v>
      </c>
      <c r="N6" s="634">
        <f>'P&amp;L'!V6</f>
        <v>6120.6381565639822</v>
      </c>
      <c r="O6" s="1099">
        <f>'P&amp;L'!W6</f>
        <v>6335.1363365264342</v>
      </c>
      <c r="P6" s="636">
        <f>'P&amp;L'!X6</f>
        <v>0.13159540830140859</v>
      </c>
      <c r="Q6" s="637">
        <f>'P&amp;L'!Y6</f>
        <v>3.5045067928483276E-2</v>
      </c>
      <c r="R6" s="629"/>
      <c r="V6" s="638">
        <v>5935.4817988000095</v>
      </c>
      <c r="W6" s="639">
        <v>7864.2508810970739</v>
      </c>
      <c r="X6" s="639">
        <v>10440.003070818655</v>
      </c>
      <c r="Y6" s="639">
        <v>12090.970571938073</v>
      </c>
      <c r="Z6" s="639">
        <v>14991.777310633095</v>
      </c>
      <c r="AA6" s="639">
        <v>18715.439999999999</v>
      </c>
      <c r="AB6" s="639">
        <v>21787.258086059079</v>
      </c>
      <c r="AC6" s="640">
        <v>0.16413282755089265</v>
      </c>
      <c r="AD6" s="640">
        <v>0.24200811491748397</v>
      </c>
    </row>
    <row r="7" spans="1:30" x14ac:dyDescent="0.15">
      <c r="B7" s="632" t="s">
        <v>109</v>
      </c>
      <c r="C7" s="633">
        <v>1887.9896635716998</v>
      </c>
      <c r="D7" s="641">
        <v>2060</v>
      </c>
      <c r="E7" s="634">
        <v>2182.8007831421355</v>
      </c>
      <c r="F7" s="635">
        <v>2227.9477368892176</v>
      </c>
      <c r="G7" s="633">
        <v>2361.9776807489989</v>
      </c>
      <c r="H7" s="634">
        <v>2510.312289077372</v>
      </c>
      <c r="I7" s="634">
        <v>2612.4243797634008</v>
      </c>
      <c r="J7" s="635">
        <v>2673.2140319073701</v>
      </c>
      <c r="K7" s="634">
        <v>2735.9849491441391</v>
      </c>
      <c r="L7" s="634">
        <f>'P&amp;L'!T7</f>
        <v>2784.670043785482</v>
      </c>
      <c r="M7" s="634">
        <f>'P&amp;L'!U7</f>
        <v>2767.6771692361272</v>
      </c>
      <c r="N7" s="634">
        <f>'P&amp;L'!V7</f>
        <v>2762.9723304938593</v>
      </c>
      <c r="O7" s="1099">
        <f>'P&amp;L'!W7</f>
        <v>2952.0683058269137</v>
      </c>
      <c r="P7" s="642">
        <f>'P&amp;L'!X7</f>
        <v>7.8978269507794296E-2</v>
      </c>
      <c r="Q7" s="643">
        <f>'P&amp;L'!Y7</f>
        <v>6.8439330081620842E-2</v>
      </c>
      <c r="R7" s="629"/>
      <c r="S7" s="612"/>
      <c r="U7" s="610"/>
      <c r="V7" s="644">
        <v>2602.8908543716343</v>
      </c>
      <c r="W7" s="645">
        <v>3609.7244804069151</v>
      </c>
      <c r="X7" s="645">
        <v>4644.2736902055058</v>
      </c>
      <c r="Y7" s="645">
        <v>4832.1566413708078</v>
      </c>
      <c r="Z7" s="645">
        <v>5981.6604918052908</v>
      </c>
      <c r="AA7" s="645">
        <v>8358.7999999999993</v>
      </c>
      <c r="AB7" s="645">
        <v>10157.92838149714</v>
      </c>
      <c r="AC7" s="640">
        <v>0.21523763955318254</v>
      </c>
      <c r="AD7" s="640">
        <v>0.25475287132227864</v>
      </c>
    </row>
    <row r="8" spans="1:30" s="621" customFormat="1" x14ac:dyDescent="0.15">
      <c r="B8" s="646" t="s">
        <v>89</v>
      </c>
      <c r="C8" s="647">
        <v>2539.1553433344261</v>
      </c>
      <c r="D8" s="648">
        <v>2533.2067386957497</v>
      </c>
      <c r="E8" s="648">
        <v>2541.1973605912808</v>
      </c>
      <c r="F8" s="649">
        <v>2743.1461681329374</v>
      </c>
      <c r="G8" s="647">
        <v>2797.0538222545956</v>
      </c>
      <c r="H8" s="648">
        <v>2799.46260964873</v>
      </c>
      <c r="I8" s="648">
        <v>2928.5015783146828</v>
      </c>
      <c r="J8" s="649">
        <v>3104.3116943439268</v>
      </c>
      <c r="K8" s="648">
        <v>3185.2681875563976</v>
      </c>
      <c r="L8" s="648">
        <f>'P&amp;L'!T8</f>
        <v>2988.2114117228498</v>
      </c>
      <c r="M8" s="648">
        <f>'P&amp;L'!U8</f>
        <v>3149.7508708721225</v>
      </c>
      <c r="N8" s="648">
        <f>'P&amp;L'!V8</f>
        <v>3357.6658260701229</v>
      </c>
      <c r="O8" s="1100">
        <f>'P&amp;L'!W8</f>
        <v>3383.0680306995205</v>
      </c>
      <c r="P8" s="650">
        <f>'P&amp;L'!X8</f>
        <v>0.18188830333292549</v>
      </c>
      <c r="Q8" s="651">
        <f>'P&amp;L'!Y8</f>
        <v>7.5654356166614534E-3</v>
      </c>
      <c r="R8" s="652"/>
      <c r="V8" s="653">
        <v>3332.5909444283752</v>
      </c>
      <c r="W8" s="654">
        <v>4254.5264006901589</v>
      </c>
      <c r="X8" s="654">
        <v>5795.7293806131493</v>
      </c>
      <c r="Y8" s="654">
        <v>7258.8139305672648</v>
      </c>
      <c r="Z8" s="654">
        <v>9010.1168188278043</v>
      </c>
      <c r="AA8" s="654">
        <v>10356.64</v>
      </c>
      <c r="AB8" s="654">
        <v>11629.329704561938</v>
      </c>
      <c r="AC8" s="655">
        <v>0.12288635161229311</v>
      </c>
      <c r="AD8" s="655">
        <v>0.23157853844395326</v>
      </c>
    </row>
    <row r="9" spans="1:30" s="631" customFormat="1" x14ac:dyDescent="0.15">
      <c r="B9" s="656" t="s">
        <v>101</v>
      </c>
      <c r="C9" s="657">
        <v>241.40390796979997</v>
      </c>
      <c r="D9" s="658">
        <v>381.22202655219974</v>
      </c>
      <c r="E9" s="658">
        <v>367.96660459000134</v>
      </c>
      <c r="F9" s="659">
        <v>496.92849896000018</v>
      </c>
      <c r="G9" s="657">
        <v>266.51872401999839</v>
      </c>
      <c r="H9" s="658">
        <v>494.77151936000161</v>
      </c>
      <c r="I9" s="658">
        <v>438.24784948872264</v>
      </c>
      <c r="J9" s="659">
        <v>597.35473765604593</v>
      </c>
      <c r="K9" s="658">
        <v>358.09561029121926</v>
      </c>
      <c r="L9" s="658">
        <f>'P&amp;L'!T9</f>
        <v>901.63246571560603</v>
      </c>
      <c r="M9" s="658">
        <f>'P&amp;L'!U9</f>
        <v>828.73416905057479</v>
      </c>
      <c r="N9" s="658">
        <f>'P&amp;L'!V9</f>
        <v>1027.685074187807</v>
      </c>
      <c r="O9" s="1101">
        <f>'P&amp;L'!W9</f>
        <v>755.82179443702046</v>
      </c>
      <c r="P9" s="660">
        <f>'P&amp;L'!X9</f>
        <v>0.10997216699157519</v>
      </c>
      <c r="Q9" s="661">
        <f>'P&amp;L'!Y9</f>
        <v>-0.26453948449688602</v>
      </c>
      <c r="R9" s="629"/>
      <c r="V9" s="638">
        <v>1174.2441551049039</v>
      </c>
      <c r="W9" s="639">
        <v>1166.6901154789384</v>
      </c>
      <c r="X9" s="639">
        <v>613.34707146429969</v>
      </c>
      <c r="Y9" s="639">
        <v>964.60918104299958</v>
      </c>
      <c r="Z9" s="639">
        <v>1109.6791145737002</v>
      </c>
      <c r="AA9" s="639">
        <v>1486.9210380720019</v>
      </c>
      <c r="AB9" s="639">
        <v>1796.8928305247684</v>
      </c>
      <c r="AC9" s="640">
        <v>0.20846553684833702</v>
      </c>
      <c r="AD9" s="640">
        <v>7.3480009764732346E-2</v>
      </c>
    </row>
    <row r="10" spans="1:30" s="631" customFormat="1" x14ac:dyDescent="0.15">
      <c r="B10" s="662" t="s">
        <v>176</v>
      </c>
      <c r="C10" s="663">
        <v>31.291933000000007</v>
      </c>
      <c r="D10" s="664">
        <v>131.93739749999997</v>
      </c>
      <c r="E10" s="664">
        <v>97.041349500001033</v>
      </c>
      <c r="F10" s="665">
        <v>166.28066400000023</v>
      </c>
      <c r="G10" s="663">
        <v>-56.239305000001067</v>
      </c>
      <c r="H10" s="664">
        <v>181.78313300000099</v>
      </c>
      <c r="I10" s="664">
        <v>111.58521347927274</v>
      </c>
      <c r="J10" s="665">
        <v>226.73560335319712</v>
      </c>
      <c r="K10" s="664">
        <v>43.065334710699801</v>
      </c>
      <c r="L10" s="664">
        <f>'P&amp;L'!T10</f>
        <v>255.20286201987773</v>
      </c>
      <c r="M10" s="664">
        <f>'P&amp;L'!U10</f>
        <v>204.4161657601237</v>
      </c>
      <c r="N10" s="664">
        <f>'P&amp;L'!V10</f>
        <v>357.90926643980731</v>
      </c>
      <c r="O10" s="1102">
        <f>'P&amp;L'!W10</f>
        <v>126.14187252702089</v>
      </c>
      <c r="P10" s="660"/>
      <c r="Q10" s="661"/>
      <c r="R10" s="629"/>
      <c r="V10" s="666">
        <v>782.80130597924301</v>
      </c>
      <c r="W10" s="667">
        <v>765.88752599999998</v>
      </c>
      <c r="X10" s="667">
        <v>187.48959499999984</v>
      </c>
      <c r="Y10" s="667">
        <v>437.1006799999999</v>
      </c>
      <c r="Z10" s="667">
        <v>408.30851300000006</v>
      </c>
      <c r="AA10" s="667">
        <v>426.05134400000202</v>
      </c>
      <c r="AB10" s="667">
        <v>463.86464483246982</v>
      </c>
      <c r="AC10" s="640"/>
      <c r="AD10" s="640"/>
    </row>
    <row r="11" spans="1:30" s="631" customFormat="1" x14ac:dyDescent="0.15">
      <c r="B11" s="662" t="s">
        <v>90</v>
      </c>
      <c r="C11" s="663">
        <v>174.84827312979996</v>
      </c>
      <c r="D11" s="664">
        <v>209.28208825219974</v>
      </c>
      <c r="E11" s="664">
        <v>218.28988533000029</v>
      </c>
      <c r="F11" s="665">
        <v>292.73033520999996</v>
      </c>
      <c r="G11" s="663">
        <v>261.30235001999949</v>
      </c>
      <c r="H11" s="664">
        <v>255.40200910000061</v>
      </c>
      <c r="I11" s="664">
        <v>273.57956556900001</v>
      </c>
      <c r="J11" s="665">
        <v>322.52195042999858</v>
      </c>
      <c r="K11" s="664">
        <v>236.20929605999947</v>
      </c>
      <c r="L11" s="664" t="e">
        <f>'P&amp;L'!#REF!</f>
        <v>#REF!</v>
      </c>
      <c r="M11" s="664" t="e">
        <f>'P&amp;L'!#REF!</f>
        <v>#REF!</v>
      </c>
      <c r="N11" s="664" t="e">
        <f>'P&amp;L'!#REF!</f>
        <v>#REF!</v>
      </c>
      <c r="O11" s="1102" t="e">
        <f>'P&amp;L'!#REF!</f>
        <v>#REF!</v>
      </c>
      <c r="P11" s="660"/>
      <c r="Q11" s="661"/>
      <c r="R11" s="629"/>
      <c r="V11" s="666">
        <v>270.30036245970001</v>
      </c>
      <c r="W11" s="667">
        <v>340.7592424272998</v>
      </c>
      <c r="X11" s="667">
        <v>387.14194227429977</v>
      </c>
      <c r="Y11" s="667">
        <v>474.30999872299981</v>
      </c>
      <c r="Z11" s="667">
        <v>605.20331128370003</v>
      </c>
      <c r="AA11" s="667">
        <v>895.15058192200001</v>
      </c>
      <c r="AB11" s="667">
        <v>1114.4729123689985</v>
      </c>
      <c r="AC11" s="640"/>
      <c r="AD11" s="640"/>
    </row>
    <row r="12" spans="1:30" s="631" customFormat="1" x14ac:dyDescent="0.15">
      <c r="B12" s="662" t="s">
        <v>177</v>
      </c>
      <c r="C12" s="663">
        <v>35.263701840000003</v>
      </c>
      <c r="D12" s="664">
        <v>40.002540799999991</v>
      </c>
      <c r="E12" s="664">
        <v>52.635369760000003</v>
      </c>
      <c r="F12" s="665">
        <v>37.917499750000005</v>
      </c>
      <c r="G12" s="663">
        <v>61.455678999999996</v>
      </c>
      <c r="H12" s="664">
        <v>57.586377260000006</v>
      </c>
      <c r="I12" s="664">
        <v>53.083070440449909</v>
      </c>
      <c r="J12" s="665">
        <v>48.097183872850202</v>
      </c>
      <c r="K12" s="664">
        <v>78.820979520519998</v>
      </c>
      <c r="L12" s="664" t="e">
        <f>'P&amp;L'!#REF!</f>
        <v>#REF!</v>
      </c>
      <c r="M12" s="664" t="e">
        <f>'P&amp;L'!#REF!</f>
        <v>#REF!</v>
      </c>
      <c r="N12" s="664" t="e">
        <f>'P&amp;L'!#REF!</f>
        <v>#REF!</v>
      </c>
      <c r="O12" s="1102" t="e">
        <f>'P&amp;L'!#REF!</f>
        <v>#REF!</v>
      </c>
      <c r="P12" s="660"/>
      <c r="Q12" s="661"/>
      <c r="R12" s="629"/>
      <c r="V12" s="666">
        <v>121.142486665961</v>
      </c>
      <c r="W12" s="667">
        <v>60.043347051638555</v>
      </c>
      <c r="X12" s="667">
        <v>38.71553419</v>
      </c>
      <c r="Y12" s="667">
        <v>53.198502320000003</v>
      </c>
      <c r="Z12" s="667">
        <v>96.167290289999983</v>
      </c>
      <c r="AA12" s="667">
        <v>165.71911215</v>
      </c>
      <c r="AB12" s="667">
        <v>218.55527332330013</v>
      </c>
      <c r="AC12" s="640"/>
      <c r="AD12" s="640"/>
    </row>
    <row r="13" spans="1:30" s="611" customFormat="1" x14ac:dyDescent="0.15">
      <c r="B13" s="668" t="s">
        <v>91</v>
      </c>
      <c r="C13" s="647">
        <v>2780.5592513042261</v>
      </c>
      <c r="D13" s="648">
        <v>2914.4287652479493</v>
      </c>
      <c r="E13" s="648">
        <v>2909.163965181282</v>
      </c>
      <c r="F13" s="649">
        <v>3240.0746670929375</v>
      </c>
      <c r="G13" s="647">
        <v>3063.5725462745941</v>
      </c>
      <c r="H13" s="648">
        <v>3294.2341290087315</v>
      </c>
      <c r="I13" s="648">
        <v>3366.7494278034055</v>
      </c>
      <c r="J13" s="649">
        <v>3701.6664319999727</v>
      </c>
      <c r="K13" s="648">
        <v>3543.3637978476168</v>
      </c>
      <c r="L13" s="648">
        <f>'P&amp;L'!T15</f>
        <v>3889.8438774384558</v>
      </c>
      <c r="M13" s="648">
        <f>'P&amp;L'!U15</f>
        <v>3978.4850399226971</v>
      </c>
      <c r="N13" s="648">
        <f>'P&amp;L'!V15</f>
        <v>4385.3509002579303</v>
      </c>
      <c r="O13" s="1100">
        <f>'P&amp;L'!W15</f>
        <v>4138.8898251365408</v>
      </c>
      <c r="P13" s="650">
        <f>'P&amp;L'!X15</f>
        <v>0.16806798885586383</v>
      </c>
      <c r="Q13" s="651">
        <f>'P&amp;L'!Y15</f>
        <v>-5.620099297114256E-2</v>
      </c>
      <c r="R13" s="629"/>
      <c r="V13" s="653">
        <v>4506.8350995332794</v>
      </c>
      <c r="W13" s="654">
        <v>5421.2165161690973</v>
      </c>
      <c r="X13" s="654">
        <v>6409.0764520774492</v>
      </c>
      <c r="Y13" s="654">
        <v>8223.4231116102637</v>
      </c>
      <c r="Z13" s="654">
        <v>10119.795933401505</v>
      </c>
      <c r="AA13" s="654">
        <v>11843.561038072001</v>
      </c>
      <c r="AB13" s="654">
        <v>13426.222535086707</v>
      </c>
      <c r="AC13" s="655">
        <v>0.13363054337518276</v>
      </c>
      <c r="AD13" s="655">
        <v>0.1995371301223936</v>
      </c>
    </row>
    <row r="14" spans="1:30" x14ac:dyDescent="0.15">
      <c r="B14" s="632" t="s">
        <v>92</v>
      </c>
      <c r="C14" s="633">
        <v>949.05951222642727</v>
      </c>
      <c r="D14" s="634">
        <v>820.24618014240764</v>
      </c>
      <c r="E14" s="634">
        <v>831.19826197528096</v>
      </c>
      <c r="F14" s="635">
        <v>958.59912628638449</v>
      </c>
      <c r="G14" s="633">
        <v>915.51994380739484</v>
      </c>
      <c r="H14" s="634">
        <v>836.08957271570034</v>
      </c>
      <c r="I14" s="634">
        <v>906.44678771374561</v>
      </c>
      <c r="J14" s="635">
        <v>1119.5172067924836</v>
      </c>
      <c r="K14" s="634">
        <v>1107.1241524935169</v>
      </c>
      <c r="L14" s="634">
        <f>'P&amp;L'!T16</f>
        <v>1129.472125299184</v>
      </c>
      <c r="M14" s="634">
        <f>'P&amp;L'!U16</f>
        <v>1142.0360493003311</v>
      </c>
      <c r="N14" s="634">
        <f>'P&amp;L'!V16</f>
        <v>1325.0152949430753</v>
      </c>
      <c r="O14" s="1099">
        <f>'P&amp;L'!W16</f>
        <v>1216.98821336275</v>
      </c>
      <c r="P14" s="636">
        <f>'P&amp;L'!X16</f>
        <v>9.923373148512038E-2</v>
      </c>
      <c r="Q14" s="637">
        <f>'P&amp;L'!Y16</f>
        <v>-8.1528931773550806E-2</v>
      </c>
      <c r="R14" s="629"/>
      <c r="S14" s="612"/>
      <c r="U14" s="610"/>
      <c r="V14" s="669">
        <v>1172.3544552349799</v>
      </c>
      <c r="W14" s="670">
        <v>1470.7447910272813</v>
      </c>
      <c r="X14" s="670">
        <v>1721.3605523474687</v>
      </c>
      <c r="Y14" s="670">
        <v>2322.3533486494248</v>
      </c>
      <c r="Z14" s="670">
        <v>3005.9033304954892</v>
      </c>
      <c r="AA14" s="670">
        <v>3559.1030806305002</v>
      </c>
      <c r="AB14" s="670">
        <v>3777.5735110293244</v>
      </c>
      <c r="AC14" s="671">
        <v>6.1383563625283299E-2</v>
      </c>
      <c r="AD14" s="671">
        <v>0.21532471827918021</v>
      </c>
    </row>
    <row r="15" spans="1:30" x14ac:dyDescent="0.15">
      <c r="B15" s="632" t="s">
        <v>93</v>
      </c>
      <c r="C15" s="633">
        <v>367.9620796560144</v>
      </c>
      <c r="D15" s="641">
        <v>463</v>
      </c>
      <c r="E15" s="634">
        <v>500.92945067506366</v>
      </c>
      <c r="F15" s="635">
        <v>463.3793287149544</v>
      </c>
      <c r="G15" s="633">
        <v>452.73903504475095</v>
      </c>
      <c r="H15" s="634">
        <v>509.65460120002217</v>
      </c>
      <c r="I15" s="634">
        <v>515.6095524748049</v>
      </c>
      <c r="J15" s="635">
        <v>573.51083167617981</v>
      </c>
      <c r="K15" s="634">
        <v>532.35512870294474</v>
      </c>
      <c r="L15" s="634">
        <f>'P&amp;L'!T17</f>
        <v>568.48971890476093</v>
      </c>
      <c r="M15" s="634">
        <f>'P&amp;L'!U17</f>
        <v>564.72041585687907</v>
      </c>
      <c r="N15" s="634">
        <f>'P&amp;L'!V17</f>
        <v>686.17754190555218</v>
      </c>
      <c r="O15" s="1099">
        <f>'P&amp;L'!W17</f>
        <v>592.8799289668649</v>
      </c>
      <c r="P15" s="660"/>
      <c r="Q15" s="637"/>
      <c r="R15" s="629"/>
      <c r="S15" s="612"/>
      <c r="U15" s="610"/>
      <c r="V15" s="644">
        <v>668.58044944670246</v>
      </c>
      <c r="W15" s="645">
        <v>776.63094568014219</v>
      </c>
      <c r="X15" s="645">
        <v>783.03706791850902</v>
      </c>
      <c r="Y15" s="645">
        <v>1126.4460759312924</v>
      </c>
      <c r="Z15" s="645">
        <v>1499.7097247820159</v>
      </c>
      <c r="AA15" s="645">
        <v>1795.4</v>
      </c>
      <c r="AB15" s="645">
        <v>2051.5146203957579</v>
      </c>
      <c r="AC15" s="640"/>
      <c r="AD15" s="640"/>
    </row>
    <row r="16" spans="1:30" s="611" customFormat="1" x14ac:dyDescent="0.15">
      <c r="B16" s="622" t="s">
        <v>94</v>
      </c>
      <c r="C16" s="672">
        <v>1317.0215918824417</v>
      </c>
      <c r="D16" s="673">
        <v>1283.2461801424076</v>
      </c>
      <c r="E16" s="673">
        <v>1332.1277126503446</v>
      </c>
      <c r="F16" s="674">
        <v>1421.9784550013389</v>
      </c>
      <c r="G16" s="672">
        <v>1368.2589788521459</v>
      </c>
      <c r="H16" s="673">
        <v>1345.7441739157225</v>
      </c>
      <c r="I16" s="673">
        <v>1422.0563401885506</v>
      </c>
      <c r="J16" s="674">
        <v>1693.0280384686635</v>
      </c>
      <c r="K16" s="673">
        <v>1639.4792811964617</v>
      </c>
      <c r="L16" s="673">
        <f>'P&amp;L'!T18</f>
        <v>1697.961844203945</v>
      </c>
      <c r="M16" s="673">
        <f>'P&amp;L'!U18</f>
        <v>1706.7564651572102</v>
      </c>
      <c r="N16" s="673">
        <f>'P&amp;L'!V18</f>
        <v>2011.1928368486274</v>
      </c>
      <c r="O16" s="1103">
        <f>'P&amp;L'!W18</f>
        <v>1809.8681423296148</v>
      </c>
      <c r="P16" s="675">
        <f>'P&amp;L'!X18</f>
        <v>0.10392864556898007</v>
      </c>
      <c r="Q16" s="676">
        <f>'P&amp;L'!Y18</f>
        <v>-0.10010213383340794</v>
      </c>
      <c r="R16" s="629"/>
      <c r="V16" s="626">
        <v>1840.9349046816824</v>
      </c>
      <c r="W16" s="677">
        <v>2247.3757367074236</v>
      </c>
      <c r="X16" s="677">
        <v>2504.3976202659778</v>
      </c>
      <c r="Y16" s="677">
        <v>3448.7994245807172</v>
      </c>
      <c r="Z16" s="677">
        <v>4505.6130552775048</v>
      </c>
      <c r="AA16" s="677">
        <v>5354.5030806305003</v>
      </c>
      <c r="AB16" s="677">
        <v>5829.0881314250819</v>
      </c>
      <c r="AC16" s="678">
        <v>8.8632884069365092E-2</v>
      </c>
      <c r="AD16" s="678">
        <v>0.21178907169362016</v>
      </c>
    </row>
    <row r="17" spans="2:30" s="611" customFormat="1" x14ac:dyDescent="0.15">
      <c r="B17" s="679" t="s">
        <v>95</v>
      </c>
      <c r="C17" s="680">
        <v>1463.5376594217844</v>
      </c>
      <c r="D17" s="681">
        <v>1631.1825851055416</v>
      </c>
      <c r="E17" s="681">
        <v>1577.0362525309374</v>
      </c>
      <c r="F17" s="682">
        <v>1818.0962120915985</v>
      </c>
      <c r="G17" s="680">
        <v>1695.3135674224482</v>
      </c>
      <c r="H17" s="624">
        <v>1948.489955093009</v>
      </c>
      <c r="I17" s="624">
        <v>1944.6930876148549</v>
      </c>
      <c r="J17" s="625">
        <v>2008.6383935313092</v>
      </c>
      <c r="K17" s="624">
        <v>1903.8845166511551</v>
      </c>
      <c r="L17" s="624">
        <f>'P&amp;L'!T19</f>
        <v>2191.8820332345108</v>
      </c>
      <c r="M17" s="624">
        <f>'P&amp;L'!U19</f>
        <v>2271.7285747654869</v>
      </c>
      <c r="N17" s="624">
        <f>'P&amp;L'!V19</f>
        <v>2374.1580634093029</v>
      </c>
      <c r="O17" s="1098">
        <f>'P&amp;L'!W19</f>
        <v>2329.021682806926</v>
      </c>
      <c r="P17" s="675">
        <f>'P&amp;L'!X19</f>
        <v>0.22329987057385603</v>
      </c>
      <c r="Q17" s="676">
        <f>'P&amp;L'!Y19</f>
        <v>-1.90115314131869E-2</v>
      </c>
      <c r="R17" s="629"/>
      <c r="V17" s="683">
        <v>2665.900194851597</v>
      </c>
      <c r="W17" s="684">
        <v>3173.8407794616737</v>
      </c>
      <c r="X17" s="684">
        <v>3904.6788318114714</v>
      </c>
      <c r="Y17" s="684">
        <v>4774.623687029547</v>
      </c>
      <c r="Z17" s="684">
        <v>5614.1828781240001</v>
      </c>
      <c r="AA17" s="684">
        <v>6489.0579574415005</v>
      </c>
      <c r="AB17" s="684">
        <v>7597.1344036616247</v>
      </c>
      <c r="AC17" s="685">
        <v>0.17076075656704659</v>
      </c>
      <c r="AD17" s="685">
        <v>0.19069625375102972</v>
      </c>
    </row>
    <row r="18" spans="2:30" s="631" customFormat="1" x14ac:dyDescent="0.15">
      <c r="B18" s="656" t="s">
        <v>12</v>
      </c>
      <c r="C18" s="666">
        <v>56.750203726770124</v>
      </c>
      <c r="D18" s="667">
        <v>65.172940913195731</v>
      </c>
      <c r="E18" s="667">
        <v>79.659946595739598</v>
      </c>
      <c r="F18" s="686"/>
      <c r="G18" s="666">
        <v>85.833886292298303</v>
      </c>
      <c r="H18" s="667">
        <v>48.281229546956091</v>
      </c>
      <c r="I18" s="667">
        <v>60.728955849387788</v>
      </c>
      <c r="J18" s="686">
        <v>76.399029651242287</v>
      </c>
      <c r="K18" s="667">
        <v>112.59859791791378</v>
      </c>
      <c r="L18" s="667">
        <f>'P&amp;L'!T20</f>
        <v>79.600081888548061</v>
      </c>
      <c r="M18" s="667">
        <f>'P&amp;L'!U20</f>
        <v>78.496927179357883</v>
      </c>
      <c r="N18" s="667">
        <f>'P&amp;L'!V20</f>
        <v>66.548243242138099</v>
      </c>
      <c r="O18" s="1104">
        <f>'P&amp;L'!W20</f>
        <v>127.98094339911354</v>
      </c>
      <c r="P18" s="636">
        <f>'P&amp;L'!X20</f>
        <v>0.13661222933178752</v>
      </c>
      <c r="Q18" s="637">
        <f>'P&amp;L'!Y20</f>
        <v>0.92313030613671376</v>
      </c>
      <c r="R18" s="629"/>
      <c r="V18" s="687">
        <v>88.9767929961356</v>
      </c>
      <c r="W18" s="688">
        <v>153.37760951844223</v>
      </c>
      <c r="X18" s="688">
        <v>371.38558625620163</v>
      </c>
      <c r="Y18" s="688">
        <v>226.05198588657998</v>
      </c>
      <c r="Z18" s="688">
        <v>124.22393844133417</v>
      </c>
      <c r="AA18" s="688">
        <v>244.7</v>
      </c>
      <c r="AB18" s="688">
        <v>271.24310133988445</v>
      </c>
      <c r="AC18" s="640">
        <v>0.10847201201423973</v>
      </c>
      <c r="AD18" s="640">
        <v>0.20414926662066679</v>
      </c>
    </row>
    <row r="19" spans="2:30" s="611" customFormat="1" x14ac:dyDescent="0.15">
      <c r="B19" s="668" t="s">
        <v>13</v>
      </c>
      <c r="C19" s="647">
        <v>1406.7874556950142</v>
      </c>
      <c r="D19" s="648">
        <v>1566.0096441923458</v>
      </c>
      <c r="E19" s="648">
        <v>1497.3763059351977</v>
      </c>
      <c r="F19" s="649">
        <v>1774.9419273926912</v>
      </c>
      <c r="G19" s="647">
        <v>1609.4796811301499</v>
      </c>
      <c r="H19" s="648">
        <v>1900.2087255460528</v>
      </c>
      <c r="I19" s="648">
        <v>1883.9641317654671</v>
      </c>
      <c r="J19" s="649">
        <v>1932.239363880067</v>
      </c>
      <c r="K19" s="648">
        <v>1791.2859187332413</v>
      </c>
      <c r="L19" s="648">
        <f>'P&amp;L'!T21</f>
        <v>2112.2819513459626</v>
      </c>
      <c r="M19" s="648">
        <f>'P&amp;L'!U21</f>
        <v>2193.2316475861289</v>
      </c>
      <c r="N19" s="648">
        <f>'P&amp;L'!V21</f>
        <v>2307.6098201671648</v>
      </c>
      <c r="O19" s="1100">
        <f>'P&amp;L'!W21</f>
        <v>2201.0407394078125</v>
      </c>
      <c r="P19" s="650">
        <f>'P&amp;L'!X21</f>
        <v>0.22874897658121585</v>
      </c>
      <c r="Q19" s="651">
        <f>'P&amp;L'!Y21</f>
        <v>-4.6181585737762432E-2</v>
      </c>
      <c r="R19" s="629"/>
      <c r="V19" s="653">
        <v>2576.9234018554616</v>
      </c>
      <c r="W19" s="654">
        <v>3020.4631699432316</v>
      </c>
      <c r="X19" s="654">
        <v>3533.2932455552696</v>
      </c>
      <c r="Y19" s="654">
        <v>4548.571701142967</v>
      </c>
      <c r="Z19" s="654">
        <v>5489.9589396826659</v>
      </c>
      <c r="AA19" s="654">
        <v>6244.3579574415007</v>
      </c>
      <c r="AB19" s="654">
        <v>7325.8913023217401</v>
      </c>
      <c r="AC19" s="655">
        <v>0.17320168898891497</v>
      </c>
      <c r="AD19" s="655">
        <v>0.1902179440197902</v>
      </c>
    </row>
    <row r="20" spans="2:30" x14ac:dyDescent="0.15">
      <c r="B20" s="632" t="s">
        <v>14</v>
      </c>
      <c r="C20" s="633">
        <v>309.67940038160958</v>
      </c>
      <c r="D20" s="634">
        <v>348.17323343431866</v>
      </c>
      <c r="E20" s="634">
        <v>330.91585815823089</v>
      </c>
      <c r="F20" s="635">
        <v>348.7876748131726</v>
      </c>
      <c r="G20" s="633">
        <v>348.47147059229246</v>
      </c>
      <c r="H20" s="634">
        <v>421.15798970462356</v>
      </c>
      <c r="I20" s="634">
        <v>419.73524094934993</v>
      </c>
      <c r="J20" s="635">
        <v>395.44642169366978</v>
      </c>
      <c r="K20" s="634">
        <v>398.95307664939719</v>
      </c>
      <c r="L20" s="634">
        <f>'P&amp;L'!T22</f>
        <v>472.93716081893081</v>
      </c>
      <c r="M20" s="634">
        <f>'P&amp;L'!U22</f>
        <v>492.77486833706996</v>
      </c>
      <c r="N20" s="634">
        <f>'P&amp;L'!V22</f>
        <v>490.93098896504637</v>
      </c>
      <c r="O20" s="1099">
        <f>'P&amp;L'!W22</f>
        <v>488.35974914783156</v>
      </c>
      <c r="P20" s="636"/>
      <c r="Q20" s="637"/>
      <c r="R20" s="629"/>
      <c r="S20" s="612"/>
      <c r="U20" s="610"/>
      <c r="V20" s="644">
        <v>817.7981115501259</v>
      </c>
      <c r="W20" s="645">
        <v>529.26502451895078</v>
      </c>
      <c r="X20" s="645">
        <v>638.3414344141645</v>
      </c>
      <c r="Y20" s="645">
        <v>980.58107756893378</v>
      </c>
      <c r="Z20" s="645">
        <v>1189.2391618824524</v>
      </c>
      <c r="AA20" s="645">
        <v>1337.5561667873317</v>
      </c>
      <c r="AB20" s="645">
        <v>1584.8091229399358</v>
      </c>
      <c r="AC20" s="640"/>
      <c r="AD20" s="640"/>
    </row>
    <row r="21" spans="2:30" s="611" customFormat="1" x14ac:dyDescent="0.15">
      <c r="B21" s="668" t="s">
        <v>15</v>
      </c>
      <c r="C21" s="647">
        <v>1097.1080553134045</v>
      </c>
      <c r="D21" s="648">
        <v>1217.8364107580271</v>
      </c>
      <c r="E21" s="648">
        <v>1166.4604477769667</v>
      </c>
      <c r="F21" s="649">
        <v>1426.1542525795187</v>
      </c>
      <c r="G21" s="647">
        <v>1261.0082105378574</v>
      </c>
      <c r="H21" s="648">
        <v>1479.0507358414293</v>
      </c>
      <c r="I21" s="648">
        <v>1464.2288908161172</v>
      </c>
      <c r="J21" s="649">
        <v>1536.7929421863973</v>
      </c>
      <c r="K21" s="648">
        <v>1392.3328420838441</v>
      </c>
      <c r="L21" s="648">
        <f>'P&amp;L'!T23</f>
        <v>1639.3447905270318</v>
      </c>
      <c r="M21" s="648">
        <f>'P&amp;L'!U23</f>
        <v>1700.4567792490589</v>
      </c>
      <c r="N21" s="648">
        <f>'P&amp;L'!V23</f>
        <v>1816.6788312021185</v>
      </c>
      <c r="O21" s="1100">
        <f>'P&amp;L'!W23</f>
        <v>1712.6809902599809</v>
      </c>
      <c r="P21" s="650">
        <f>'P&amp;L'!X23</f>
        <v>0.23008014929582954</v>
      </c>
      <c r="Q21" s="651">
        <f>'P&amp;L'!Y23</f>
        <v>-5.7246134625414724E-2</v>
      </c>
      <c r="R21" s="629"/>
      <c r="V21" s="653">
        <v>1759.1252903053357</v>
      </c>
      <c r="W21" s="654">
        <v>2491.1981454242809</v>
      </c>
      <c r="X21" s="654">
        <v>2894.9518111411053</v>
      </c>
      <c r="Y21" s="654">
        <v>3567.9906235740332</v>
      </c>
      <c r="Z21" s="654">
        <v>4300.7197778002137</v>
      </c>
      <c r="AA21" s="654">
        <v>4906.8017906541691</v>
      </c>
      <c r="AB21" s="654">
        <v>5741.0821793818041</v>
      </c>
      <c r="AC21" s="655">
        <v>0.17002528822677587</v>
      </c>
      <c r="AD21" s="655">
        <v>0.21791271687607283</v>
      </c>
    </row>
    <row r="22" spans="2:30" x14ac:dyDescent="0.15">
      <c r="B22" s="632" t="s">
        <v>110</v>
      </c>
      <c r="C22" s="633">
        <v>0</v>
      </c>
      <c r="D22" s="634">
        <v>-1.11582144864</v>
      </c>
      <c r="E22" s="634">
        <v>0</v>
      </c>
      <c r="F22" s="635">
        <v>2.632159476</v>
      </c>
      <c r="G22" s="633">
        <v>0</v>
      </c>
      <c r="H22" s="634">
        <v>-1.1632305139199999</v>
      </c>
      <c r="I22" s="634">
        <v>0</v>
      </c>
      <c r="J22" s="635">
        <v>3.5289297009599991</v>
      </c>
      <c r="K22" s="634">
        <v>0</v>
      </c>
      <c r="L22" s="634">
        <f>'P&amp;L'!T24</f>
        <v>4.2371277758399994</v>
      </c>
      <c r="M22" s="634">
        <f>'P&amp;L'!U24</f>
        <v>2.8804535486400007</v>
      </c>
      <c r="N22" s="634">
        <f>'P&amp;L'!V24</f>
        <v>-4.1890205280000717E-2</v>
      </c>
      <c r="O22" s="1099">
        <f>'P&amp;L'!W24</f>
        <v>0</v>
      </c>
      <c r="P22" s="636"/>
      <c r="Q22" s="637"/>
      <c r="R22" s="629"/>
      <c r="S22" s="612"/>
      <c r="U22" s="610"/>
      <c r="V22" s="644">
        <v>2.2815720979200003</v>
      </c>
      <c r="W22" s="645">
        <v>-0.52164115056000004</v>
      </c>
      <c r="X22" s="645">
        <v>8.3401910303999998</v>
      </c>
      <c r="Y22" s="645">
        <v>7.0889947521600005</v>
      </c>
      <c r="Z22" s="645">
        <v>-17.933554416590407</v>
      </c>
      <c r="AA22" s="645">
        <v>1.51633802736</v>
      </c>
      <c r="AB22" s="645">
        <v>2.3656991870399997</v>
      </c>
      <c r="AC22" s="678"/>
      <c r="AD22" s="678"/>
    </row>
    <row r="23" spans="2:30" s="611" customFormat="1" x14ac:dyDescent="0.15">
      <c r="B23" s="668" t="s">
        <v>111</v>
      </c>
      <c r="C23" s="653">
        <v>1097.1080553134045</v>
      </c>
      <c r="D23" s="654">
        <v>1216.7205893093872</v>
      </c>
      <c r="E23" s="654">
        <v>1166.4604477769667</v>
      </c>
      <c r="F23" s="689">
        <v>1428.7864120555187</v>
      </c>
      <c r="G23" s="653">
        <v>1261.0082105378574</v>
      </c>
      <c r="H23" s="654">
        <v>1477.8875053275092</v>
      </c>
      <c r="I23" s="654">
        <v>1464.2288908161172</v>
      </c>
      <c r="J23" s="689">
        <v>1540.3218718873572</v>
      </c>
      <c r="K23" s="654">
        <v>1392.3328420838441</v>
      </c>
      <c r="L23" s="654">
        <f>'P&amp;L'!T25</f>
        <v>1643.5819183028718</v>
      </c>
      <c r="M23" s="654">
        <f>'P&amp;L'!U25</f>
        <v>1703.3372327976988</v>
      </c>
      <c r="N23" s="654">
        <f>'P&amp;L'!V25</f>
        <v>1816.6369409968386</v>
      </c>
      <c r="O23" s="1105">
        <f>'P&amp;L'!W25</f>
        <v>1712.6809902599809</v>
      </c>
      <c r="P23" s="650">
        <f>'P&amp;L'!X25</f>
        <v>0.23008014929582954</v>
      </c>
      <c r="Q23" s="651">
        <f>'P&amp;L'!Y25</f>
        <v>-5.7224395469913869E-2</v>
      </c>
      <c r="R23" s="629"/>
      <c r="V23" s="653">
        <v>1761.4068624032557</v>
      </c>
      <c r="W23" s="654">
        <v>2490.6765042737211</v>
      </c>
      <c r="X23" s="654">
        <v>2903.2920021715054</v>
      </c>
      <c r="Y23" s="654">
        <v>3575.0796183261932</v>
      </c>
      <c r="Z23" s="654">
        <v>4282.7862233836231</v>
      </c>
      <c r="AA23" s="654">
        <v>4908.3181286815288</v>
      </c>
      <c r="AB23" s="654">
        <v>5743.4478785688443</v>
      </c>
      <c r="AC23" s="655">
        <v>0.17014580717726369</v>
      </c>
      <c r="AD23" s="655">
        <v>0.21773325607382255</v>
      </c>
    </row>
    <row r="24" spans="2:30" x14ac:dyDescent="0.15">
      <c r="B24" s="632" t="s">
        <v>141</v>
      </c>
      <c r="C24" s="633">
        <v>13.875693660239522</v>
      </c>
      <c r="D24" s="634">
        <v>15.38751338025955</v>
      </c>
      <c r="E24" s="634">
        <v>14.740995549994414</v>
      </c>
      <c r="F24" s="635">
        <v>18.021129631013356</v>
      </c>
      <c r="G24" s="690">
        <v>15.933951365346344</v>
      </c>
      <c r="H24" s="634">
        <v>18.686163153455468</v>
      </c>
      <c r="I24" s="634">
        <v>18.399999999999999</v>
      </c>
      <c r="J24" s="635">
        <v>19.416671958312222</v>
      </c>
      <c r="K24" s="634">
        <v>17.589926690782981</v>
      </c>
      <c r="L24" s="634">
        <f>'P&amp;L'!T26</f>
        <v>20.709448733447395</v>
      </c>
      <c r="M24" s="634">
        <f>'P&amp;L'!U26</f>
        <v>21.478107483530177</v>
      </c>
      <c r="N24" s="634">
        <f>'P&amp;L'!V26</f>
        <v>22.939133450681442</v>
      </c>
      <c r="O24" s="1099">
        <f>'P&amp;L'!W26</f>
        <v>21.601648273475618</v>
      </c>
      <c r="P24" s="636">
        <f>'P&amp;L'!X26</f>
        <v>0.22806926107285919</v>
      </c>
      <c r="Q24" s="637">
        <f>'P&amp;L'!Y26</f>
        <v>-5.8305828338345189E-2</v>
      </c>
      <c r="R24" s="629"/>
      <c r="S24" s="612"/>
      <c r="U24" s="610"/>
      <c r="V24" s="633">
        <v>23.648418312359933</v>
      </c>
      <c r="W24" s="634">
        <v>31.862524816148262</v>
      </c>
      <c r="X24" s="634">
        <v>36.938485997425595</v>
      </c>
      <c r="Y24" s="634">
        <v>45.306780871398558</v>
      </c>
      <c r="Z24" s="634">
        <v>54.435388259798117</v>
      </c>
      <c r="AA24" s="634">
        <v>62.025332221506844</v>
      </c>
      <c r="AB24" s="634">
        <v>72.540868805254703</v>
      </c>
      <c r="AC24" s="691">
        <v>0.16953615897121588</v>
      </c>
      <c r="AD24" s="691">
        <v>0.20539700751052847</v>
      </c>
    </row>
    <row r="25" spans="2:30" x14ac:dyDescent="0.15">
      <c r="B25" s="692" t="s">
        <v>142</v>
      </c>
      <c r="C25" s="693">
        <v>13.859303148437508</v>
      </c>
      <c r="D25" s="694">
        <v>15.377407602499012</v>
      </c>
      <c r="E25" s="694">
        <v>14.722197670783972</v>
      </c>
      <c r="F25" s="695">
        <v>17.99967767199427</v>
      </c>
      <c r="G25" s="696">
        <v>15.915838204313046</v>
      </c>
      <c r="H25" s="694">
        <v>18.663778313969878</v>
      </c>
      <c r="I25" s="694">
        <v>18.399999999999999</v>
      </c>
      <c r="J25" s="695">
        <v>19.26446481825031</v>
      </c>
      <c r="K25" s="694">
        <v>17.451349902168754</v>
      </c>
      <c r="L25" s="694">
        <f>'P&amp;L'!T27</f>
        <v>20.551492665631908</v>
      </c>
      <c r="M25" s="694">
        <f>'P&amp;L'!U27</f>
        <v>21.321002235105478</v>
      </c>
      <c r="N25" s="694">
        <f>'P&amp;L'!V27</f>
        <v>22.784445393452732</v>
      </c>
      <c r="O25" s="1106">
        <f>'P&amp;L'!W27</f>
        <v>21.513011325512799</v>
      </c>
      <c r="P25" s="642">
        <f>'P&amp;L'!X27</f>
        <v>0.23274196243347833</v>
      </c>
      <c r="Q25" s="643">
        <f>'P&amp;L'!Y27</f>
        <v>-5.5802721812368006E-2</v>
      </c>
      <c r="R25" s="629"/>
      <c r="S25" s="612"/>
      <c r="U25" s="610"/>
      <c r="V25" s="693">
        <v>23.082470980281649</v>
      </c>
      <c r="W25" s="694">
        <v>31.487337675033793</v>
      </c>
      <c r="X25" s="694">
        <v>36.615532160231204</v>
      </c>
      <c r="Y25" s="694">
        <v>45.01794178719819</v>
      </c>
      <c r="Z25" s="694">
        <v>54.295282010693086</v>
      </c>
      <c r="AA25" s="694">
        <v>61.958586093714764</v>
      </c>
      <c r="AB25" s="694">
        <v>71.968245040821472</v>
      </c>
      <c r="AC25" s="697">
        <v>0.16155402468298274</v>
      </c>
      <c r="AD25" s="697">
        <v>0.20867563927630672</v>
      </c>
    </row>
    <row r="26" spans="2:30" x14ac:dyDescent="0.15">
      <c r="E26" s="698"/>
      <c r="G26" s="698"/>
      <c r="H26" s="698"/>
      <c r="I26" s="698"/>
      <c r="J26" s="698"/>
      <c r="K26" s="698"/>
      <c r="L26" s="698"/>
      <c r="M26" s="698"/>
      <c r="N26" s="698"/>
      <c r="O26" s="610"/>
      <c r="P26" s="610"/>
      <c r="Q26" s="613"/>
      <c r="U26" s="612"/>
      <c r="W26" s="610"/>
      <c r="X26" s="610"/>
      <c r="Y26" s="610"/>
      <c r="Z26" s="610"/>
      <c r="AA26" s="610"/>
      <c r="AB26" s="610"/>
    </row>
    <row r="27" spans="2:30" x14ac:dyDescent="0.15">
      <c r="B27" s="699" t="s">
        <v>161</v>
      </c>
      <c r="C27" s="740" t="s">
        <v>16</v>
      </c>
      <c r="D27" s="741" t="s">
        <v>17</v>
      </c>
      <c r="E27" s="741" t="s">
        <v>18</v>
      </c>
      <c r="F27" s="742" t="s">
        <v>99</v>
      </c>
      <c r="G27" s="741" t="s">
        <v>100</v>
      </c>
      <c r="H27" s="741" t="s">
        <v>132</v>
      </c>
      <c r="I27" s="741" t="s">
        <v>175</v>
      </c>
      <c r="J27" s="741" t="s">
        <v>240</v>
      </c>
      <c r="K27" s="740" t="s">
        <v>252</v>
      </c>
      <c r="L27" s="741" t="str">
        <f>BS!T4</f>
        <v>Sep'25</v>
      </c>
      <c r="M27" s="741" t="s">
        <v>280</v>
      </c>
      <c r="N27" s="743" t="s">
        <v>283</v>
      </c>
      <c r="O27" s="743" t="s">
        <v>252</v>
      </c>
      <c r="P27" s="610"/>
      <c r="Q27" s="613"/>
      <c r="R27" s="737"/>
      <c r="S27" s="737"/>
      <c r="T27" s="737"/>
      <c r="U27" s="737" t="s">
        <v>6</v>
      </c>
      <c r="V27" s="737" t="s">
        <v>7</v>
      </c>
      <c r="W27" s="737" t="s">
        <v>8</v>
      </c>
      <c r="X27" s="737" t="s">
        <v>9</v>
      </c>
      <c r="Y27" s="739" t="s">
        <v>10</v>
      </c>
      <c r="Z27" s="610" t="s">
        <v>98</v>
      </c>
      <c r="AA27" s="610" t="s">
        <v>239</v>
      </c>
      <c r="AB27" s="610" t="s">
        <v>254</v>
      </c>
    </row>
    <row r="28" spans="2:30" x14ac:dyDescent="0.15">
      <c r="B28" s="704" t="s">
        <v>19</v>
      </c>
      <c r="C28" s="705"/>
      <c r="D28" s="706"/>
      <c r="E28" s="706"/>
      <c r="F28" s="707"/>
      <c r="G28" s="706"/>
      <c r="H28" s="706"/>
      <c r="I28" s="706"/>
      <c r="J28" s="706"/>
      <c r="K28" s="705"/>
      <c r="L28" s="706"/>
      <c r="M28" s="706"/>
      <c r="N28" s="707"/>
      <c r="O28" s="707"/>
      <c r="P28" s="610"/>
      <c r="Q28" s="613"/>
      <c r="U28" s="705"/>
      <c r="V28" s="706"/>
      <c r="W28" s="706"/>
      <c r="X28" s="706"/>
      <c r="Y28" s="706"/>
      <c r="Z28" s="706"/>
      <c r="AA28" s="707"/>
      <c r="AB28" s="708" t="s">
        <v>250</v>
      </c>
    </row>
    <row r="29" spans="2:30" x14ac:dyDescent="0.15">
      <c r="B29" s="709" t="s">
        <v>20</v>
      </c>
      <c r="C29" s="710">
        <v>790.90000000000009</v>
      </c>
      <c r="D29" s="711">
        <v>791.2</v>
      </c>
      <c r="E29" s="711">
        <v>791.4</v>
      </c>
      <c r="F29" s="712">
        <v>791.39705078999998</v>
      </c>
      <c r="G29" s="711">
        <v>791.39705078999998</v>
      </c>
      <c r="H29" s="711">
        <v>791.41580078999993</v>
      </c>
      <c r="I29" s="711">
        <v>791.43780078999998</v>
      </c>
      <c r="J29" s="711">
        <v>791.53665078999995</v>
      </c>
      <c r="K29" s="710">
        <v>791.56905079000001</v>
      </c>
      <c r="L29" s="711">
        <f>BS!T6</f>
        <v>791.61353079000003</v>
      </c>
      <c r="M29" s="711">
        <f>BS!U6</f>
        <v>791.79511078999997</v>
      </c>
      <c r="N29" s="712">
        <f>BS!V6</f>
        <v>792.82743078999988</v>
      </c>
      <c r="O29" s="712">
        <f>BS!W6</f>
        <v>792.87782078999999</v>
      </c>
      <c r="P29" s="610"/>
      <c r="Q29" s="613"/>
      <c r="U29" s="710">
        <v>781.07901002999995</v>
      </c>
      <c r="V29" s="711">
        <v>783.22661033999998</v>
      </c>
      <c r="W29" s="711">
        <v>785.04551072000004</v>
      </c>
      <c r="X29" s="711">
        <v>789.36451078000005</v>
      </c>
      <c r="Y29" s="711">
        <v>790.56874078999999</v>
      </c>
      <c r="Z29" s="711">
        <v>791.39705078999998</v>
      </c>
      <c r="AA29" s="712">
        <v>791.53665078999995</v>
      </c>
      <c r="AB29" s="708"/>
    </row>
    <row r="30" spans="2:30" x14ac:dyDescent="0.15">
      <c r="B30" s="709" t="s">
        <v>21</v>
      </c>
      <c r="C30" s="710">
        <v>33095.800000000003</v>
      </c>
      <c r="D30" s="711">
        <v>34344.400000000001</v>
      </c>
      <c r="E30" s="711">
        <v>35522.6</v>
      </c>
      <c r="F30" s="712">
        <v>36941.754871802135</v>
      </c>
      <c r="G30" s="711">
        <v>38241.60760872985</v>
      </c>
      <c r="H30" s="711">
        <v>39692.280307329544</v>
      </c>
      <c r="I30" s="711">
        <v>41177.243843815697</v>
      </c>
      <c r="J30" s="711">
        <v>42816.785906836813</v>
      </c>
      <c r="K30" s="710">
        <v>44306.499977963613</v>
      </c>
      <c r="L30" s="711">
        <f>BS!T7</f>
        <v>46007.086266940583</v>
      </c>
      <c r="M30" s="711">
        <f>BS!U7</f>
        <v>47789.559596395804</v>
      </c>
      <c r="N30" s="712">
        <f>BS!V7</f>
        <v>49715.627566635041</v>
      </c>
      <c r="O30" s="712">
        <f>BS!W7</f>
        <v>51402.697027437898</v>
      </c>
      <c r="P30" s="610"/>
      <c r="Q30" s="613"/>
      <c r="U30" s="710">
        <v>17588.514130593168</v>
      </c>
      <c r="V30" s="711">
        <v>20196.110363336531</v>
      </c>
      <c r="W30" s="711">
        <v>23229.00241582319</v>
      </c>
      <c r="X30" s="711">
        <v>27297.068450691833</v>
      </c>
      <c r="Y30" s="711">
        <v>31906.0313715558</v>
      </c>
      <c r="Z30" s="711">
        <v>36941.754871802135</v>
      </c>
      <c r="AA30" s="712">
        <v>42816.785906836813</v>
      </c>
      <c r="AB30" s="708"/>
    </row>
    <row r="31" spans="2:30" x14ac:dyDescent="0.15">
      <c r="B31" s="713" t="s">
        <v>219</v>
      </c>
      <c r="C31" s="714">
        <v>33886.700000000004</v>
      </c>
      <c r="D31" s="715">
        <v>35135.599999999999</v>
      </c>
      <c r="E31" s="715">
        <v>36314</v>
      </c>
      <c r="F31" s="716">
        <v>37733.151922592137</v>
      </c>
      <c r="G31" s="715">
        <v>39033.004659519851</v>
      </c>
      <c r="H31" s="715">
        <v>40483.69610811954</v>
      </c>
      <c r="I31" s="715">
        <v>41968.681644605698</v>
      </c>
      <c r="J31" s="715">
        <v>43608.322557626816</v>
      </c>
      <c r="K31" s="714">
        <f>SUM(K29:K30)</f>
        <v>45098.069028753613</v>
      </c>
      <c r="L31" s="715">
        <f>BS!T8</f>
        <v>46798.69979773058</v>
      </c>
      <c r="M31" s="715">
        <f>BS!U8</f>
        <v>48581.354707185805</v>
      </c>
      <c r="N31" s="716">
        <f>BS!V8</f>
        <v>50508.45499742504</v>
      </c>
      <c r="O31" s="716">
        <f>BS!W8</f>
        <v>52195.574848227901</v>
      </c>
      <c r="P31" s="610"/>
      <c r="Q31" s="613"/>
      <c r="U31" s="714">
        <v>18369.593140623168</v>
      </c>
      <c r="V31" s="715">
        <v>20979.336973676531</v>
      </c>
      <c r="W31" s="715">
        <v>24014.04792654319</v>
      </c>
      <c r="X31" s="715">
        <v>28086.432961471834</v>
      </c>
      <c r="Y31" s="715">
        <v>32696.600112345801</v>
      </c>
      <c r="Z31" s="715">
        <v>37733.151922592137</v>
      </c>
      <c r="AA31" s="716">
        <v>43608.322557626816</v>
      </c>
      <c r="AB31" s="718">
        <v>0.15499022136814489</v>
      </c>
    </row>
    <row r="32" spans="2:30" x14ac:dyDescent="0.15">
      <c r="B32" s="709" t="s">
        <v>22</v>
      </c>
      <c r="C32" s="710">
        <v>106298.50000000003</v>
      </c>
      <c r="D32" s="711">
        <v>111444.1</v>
      </c>
      <c r="E32" s="711">
        <v>114145.80000000002</v>
      </c>
      <c r="F32" s="712">
        <v>123364.95691877308</v>
      </c>
      <c r="G32" s="719">
        <v>125343</v>
      </c>
      <c r="H32" s="719">
        <v>124080</v>
      </c>
      <c r="I32" s="719">
        <v>133803.24186671659</v>
      </c>
      <c r="J32" s="719">
        <v>139184.75799978987</v>
      </c>
      <c r="K32" s="720">
        <v>143899.17914158016</v>
      </c>
      <c r="L32" s="719">
        <f>BS!T9</f>
        <v>144126.41183368125</v>
      </c>
      <c r="M32" s="719">
        <f>BS!U9</f>
        <v>150033.32707557324</v>
      </c>
      <c r="N32" s="721">
        <f>BS!V9</f>
        <v>156855.70792115491</v>
      </c>
      <c r="O32" s="721">
        <f>BS!W9</f>
        <v>160704.62325506465</v>
      </c>
      <c r="P32" s="610"/>
      <c r="Q32" s="613"/>
      <c r="U32" s="710">
        <v>36532.508839167109</v>
      </c>
      <c r="V32" s="711">
        <v>53520.354546158713</v>
      </c>
      <c r="W32" s="711">
        <v>63454.228487309992</v>
      </c>
      <c r="X32" s="711">
        <v>79724.973488312375</v>
      </c>
      <c r="Y32" s="711">
        <v>98406.907166782737</v>
      </c>
      <c r="Z32" s="711">
        <v>123364.95691877308</v>
      </c>
      <c r="AA32" s="721">
        <v>139184.75799978987</v>
      </c>
      <c r="AB32" s="718">
        <v>0.249737198373855</v>
      </c>
    </row>
    <row r="33" spans="2:28" x14ac:dyDescent="0.15">
      <c r="B33" s="709" t="s">
        <v>103</v>
      </c>
      <c r="C33" s="710">
        <v>505.9</v>
      </c>
      <c r="D33" s="711">
        <v>540.20000000000005</v>
      </c>
      <c r="E33" s="711">
        <v>560.6</v>
      </c>
      <c r="F33" s="712">
        <v>602.47762715652675</v>
      </c>
      <c r="G33" s="711">
        <v>577.6933418283345</v>
      </c>
      <c r="H33" s="711">
        <v>632.52095765667616</v>
      </c>
      <c r="I33" s="711">
        <v>690.3638260381008</v>
      </c>
      <c r="J33" s="711">
        <v>755.7152155127402</v>
      </c>
      <c r="K33" s="710">
        <v>764.15841014949433</v>
      </c>
      <c r="L33" s="711">
        <f>BS!T10</f>
        <v>831.37208580962613</v>
      </c>
      <c r="M33" s="711">
        <f>BS!U10</f>
        <v>903.60091154770657</v>
      </c>
      <c r="N33" s="712">
        <f>BS!V10</f>
        <v>1003.8511824225285</v>
      </c>
      <c r="O33" s="712">
        <f>BS!W10</f>
        <v>1018.4377190458483</v>
      </c>
      <c r="P33" s="610"/>
      <c r="Q33" s="613"/>
      <c r="U33" s="710">
        <v>427.49315794432539</v>
      </c>
      <c r="V33" s="711">
        <v>317.03005869572473</v>
      </c>
      <c r="W33" s="711">
        <v>285.22694121686999</v>
      </c>
      <c r="X33" s="711">
        <v>353.55537821683555</v>
      </c>
      <c r="Y33" s="711">
        <v>501.77606961036128</v>
      </c>
      <c r="Z33" s="711">
        <v>602.47762715652675</v>
      </c>
      <c r="AA33" s="712">
        <v>755.7152155127402</v>
      </c>
      <c r="AB33" s="708"/>
    </row>
    <row r="34" spans="2:28" x14ac:dyDescent="0.15">
      <c r="B34" s="709" t="s">
        <v>23</v>
      </c>
      <c r="C34" s="710">
        <v>3300.7</v>
      </c>
      <c r="D34" s="711">
        <v>3256.2999999999993</v>
      </c>
      <c r="E34" s="711">
        <v>3476.8</v>
      </c>
      <c r="F34" s="712">
        <v>3493.9486951505805</v>
      </c>
      <c r="G34" s="719">
        <v>4970</v>
      </c>
      <c r="H34" s="719">
        <v>3655</v>
      </c>
      <c r="I34" s="719">
        <v>2438.1803148233371</v>
      </c>
      <c r="J34" s="719">
        <v>2635.9439946624866</v>
      </c>
      <c r="K34" s="720">
        <v>2965.4486598400808</v>
      </c>
      <c r="L34" s="719">
        <f>BS!T11</f>
        <v>2653.9163490145702</v>
      </c>
      <c r="M34" s="719">
        <f>BS!U11</f>
        <v>3379.0981195301351</v>
      </c>
      <c r="N34" s="721">
        <f>BS!V11</f>
        <v>3756.9951450950839</v>
      </c>
      <c r="O34" s="721">
        <f>BS!W11</f>
        <v>3931.3748612787072</v>
      </c>
      <c r="P34" s="610"/>
      <c r="Q34" s="613"/>
      <c r="U34" s="710">
        <v>938.68406273727771</v>
      </c>
      <c r="V34" s="719">
        <v>1753.7717669866406</v>
      </c>
      <c r="W34" s="711">
        <v>1846.9662067098539</v>
      </c>
      <c r="X34" s="711">
        <v>2038.8683241186586</v>
      </c>
      <c r="Y34" s="711">
        <v>2500.0261523127283</v>
      </c>
      <c r="Z34" s="711">
        <v>3493.9486951505805</v>
      </c>
      <c r="AA34" s="721">
        <v>2635.9439946624866</v>
      </c>
      <c r="AB34" s="718"/>
    </row>
    <row r="35" spans="2:28" x14ac:dyDescent="0.15">
      <c r="B35" s="722" t="s">
        <v>24</v>
      </c>
      <c r="C35" s="723">
        <v>143991.80000000005</v>
      </c>
      <c r="D35" s="724">
        <v>150376.20000000001</v>
      </c>
      <c r="E35" s="724">
        <v>154497.20000000001</v>
      </c>
      <c r="F35" s="725">
        <v>165194.53516367232</v>
      </c>
      <c r="G35" s="724">
        <v>169923.69800134818</v>
      </c>
      <c r="H35" s="724">
        <v>168851.2170657762</v>
      </c>
      <c r="I35" s="724">
        <v>178900.46765218378</v>
      </c>
      <c r="J35" s="724">
        <v>186184.73976759191</v>
      </c>
      <c r="K35" s="723">
        <f>SUM(K31:K34)</f>
        <v>192726.85524032332</v>
      </c>
      <c r="L35" s="724">
        <f>BS!T12</f>
        <v>194410.400066236</v>
      </c>
      <c r="M35" s="724">
        <f>BS!U12</f>
        <v>202897.38081383688</v>
      </c>
      <c r="N35" s="725">
        <f>BS!V12</f>
        <v>212125.00924609756</v>
      </c>
      <c r="O35" s="725">
        <f>BS!W12</f>
        <v>217850.01068361712</v>
      </c>
      <c r="P35" s="610"/>
      <c r="Q35" s="613"/>
      <c r="U35" s="723">
        <v>56268.279200471879</v>
      </c>
      <c r="V35" s="724">
        <v>76570.493345517607</v>
      </c>
      <c r="W35" s="724">
        <v>89600.469561779901</v>
      </c>
      <c r="X35" s="724">
        <v>110203.8301521197</v>
      </c>
      <c r="Y35" s="724">
        <v>134105.30950105158</v>
      </c>
      <c r="Z35" s="724">
        <v>165194.53516367232</v>
      </c>
      <c r="AA35" s="725">
        <v>186184.73976759191</v>
      </c>
      <c r="AB35" s="726">
        <v>0.22071254587546107</v>
      </c>
    </row>
    <row r="36" spans="2:28" x14ac:dyDescent="0.15">
      <c r="B36" s="704" t="s">
        <v>25</v>
      </c>
      <c r="C36" s="727"/>
      <c r="D36" s="728"/>
      <c r="E36" s="728"/>
      <c r="F36" s="729"/>
      <c r="G36" s="728"/>
      <c r="H36" s="728"/>
      <c r="I36" s="728"/>
      <c r="J36" s="728"/>
      <c r="K36" s="727"/>
      <c r="L36" s="728"/>
      <c r="M36" s="728"/>
      <c r="N36" s="729"/>
      <c r="O36" s="729"/>
      <c r="P36" s="610"/>
      <c r="Q36" s="613"/>
      <c r="U36" s="727"/>
      <c r="V36" s="728"/>
      <c r="W36" s="728"/>
      <c r="X36" s="728"/>
      <c r="Y36" s="728"/>
      <c r="Z36" s="728"/>
      <c r="AA36" s="729"/>
      <c r="AB36" s="730"/>
    </row>
    <row r="37" spans="2:28" x14ac:dyDescent="0.15">
      <c r="B37" s="709" t="s">
        <v>26</v>
      </c>
      <c r="C37" s="710">
        <v>119144</v>
      </c>
      <c r="D37" s="711">
        <v>124026.19999999998</v>
      </c>
      <c r="E37" s="711">
        <v>129932.4</v>
      </c>
      <c r="F37" s="712">
        <v>140043.66843149986</v>
      </c>
      <c r="G37" s="711">
        <v>144445.17925607553</v>
      </c>
      <c r="H37" s="711">
        <v>147145.55723518546</v>
      </c>
      <c r="I37" s="711">
        <v>153170.82765371984</v>
      </c>
      <c r="J37" s="711">
        <v>162297.09296415022</v>
      </c>
      <c r="K37" s="710">
        <v>162272.51017948383</v>
      </c>
      <c r="L37" s="711">
        <f>BS!T15</f>
        <v>166630.36079424113</v>
      </c>
      <c r="M37" s="711">
        <f>BS!U15</f>
        <v>173022.54834628646</v>
      </c>
      <c r="N37" s="712">
        <f>BS!V15</f>
        <v>183726.94681780701</v>
      </c>
      <c r="O37" s="712">
        <f>BS!W15</f>
        <v>187339.32339535077</v>
      </c>
      <c r="P37" s="610"/>
      <c r="Q37" s="613"/>
      <c r="U37" s="710">
        <v>47244.899896294293</v>
      </c>
      <c r="V37" s="711">
        <v>61807.982761171836</v>
      </c>
      <c r="W37" s="711">
        <v>75232.862971911018</v>
      </c>
      <c r="X37" s="711">
        <v>90534.236379052425</v>
      </c>
      <c r="Y37" s="711">
        <v>114762.74483970468</v>
      </c>
      <c r="Z37" s="711">
        <v>140043.66843149986</v>
      </c>
      <c r="AA37" s="712">
        <v>162297.09296415022</v>
      </c>
      <c r="AB37" s="708">
        <v>0.22836085478029866</v>
      </c>
    </row>
    <row r="38" spans="2:28" x14ac:dyDescent="0.15">
      <c r="B38" s="709" t="s">
        <v>27</v>
      </c>
      <c r="C38" s="710">
        <v>1522.9</v>
      </c>
      <c r="D38" s="711">
        <v>1527.1</v>
      </c>
      <c r="E38" s="711">
        <v>1874.7</v>
      </c>
      <c r="F38" s="712">
        <v>1821.563010371256</v>
      </c>
      <c r="G38" s="711">
        <v>1807.6106822099998</v>
      </c>
      <c r="H38" s="711">
        <v>2077.0695503715478</v>
      </c>
      <c r="I38" s="711">
        <v>2048.7081103476612</v>
      </c>
      <c r="J38" s="711">
        <v>2300.1839983800005</v>
      </c>
      <c r="K38" s="710">
        <v>6408.8584204499994</v>
      </c>
      <c r="L38" s="711">
        <f>BS!T16</f>
        <v>2089.9734886199999</v>
      </c>
      <c r="M38" s="711">
        <f>BS!U16</f>
        <v>2334.42260708</v>
      </c>
      <c r="N38" s="712">
        <f>BS!V16</f>
        <v>2708.1180209599997</v>
      </c>
      <c r="O38" s="712">
        <f>BS!W16</f>
        <v>2539.3212842399998</v>
      </c>
      <c r="P38" s="610"/>
      <c r="Q38" s="613"/>
      <c r="U38" s="710">
        <v>45</v>
      </c>
      <c r="V38" s="711">
        <v>45</v>
      </c>
      <c r="W38" s="711">
        <v>45</v>
      </c>
      <c r="X38" s="711">
        <v>675.17313080999998</v>
      </c>
      <c r="Y38" s="711">
        <v>1230.8055743761843</v>
      </c>
      <c r="Z38" s="711">
        <v>1821.563010371256</v>
      </c>
      <c r="AA38" s="712">
        <v>2300.1839983800005</v>
      </c>
      <c r="AB38" s="708"/>
    </row>
    <row r="39" spans="2:28" x14ac:dyDescent="0.15">
      <c r="B39" s="709" t="s">
        <v>28</v>
      </c>
      <c r="C39" s="710">
        <v>631.1</v>
      </c>
      <c r="D39" s="711">
        <v>646.9</v>
      </c>
      <c r="E39" s="711">
        <v>688.00000000000011</v>
      </c>
      <c r="F39" s="712">
        <v>714.81335909656366</v>
      </c>
      <c r="G39" s="711">
        <v>753.53587373656399</v>
      </c>
      <c r="H39" s="711">
        <v>770.8100279965638</v>
      </c>
      <c r="I39" s="711">
        <v>802.1915058265638</v>
      </c>
      <c r="J39" s="711">
        <v>824.1348981565643</v>
      </c>
      <c r="K39" s="710">
        <v>841.52463818656429</v>
      </c>
      <c r="L39" s="711">
        <f>BS!T17</f>
        <v>872.19987148656526</v>
      </c>
      <c r="M39" s="711">
        <f>BS!U17</f>
        <v>875.74552596656486</v>
      </c>
      <c r="N39" s="712">
        <f>BS!V17</f>
        <v>921.47087626656162</v>
      </c>
      <c r="O39" s="712">
        <f>BS!W17</f>
        <v>905.67282771656164</v>
      </c>
      <c r="P39" s="610"/>
      <c r="Q39" s="613"/>
      <c r="U39" s="710">
        <v>229.11623680000005</v>
      </c>
      <c r="V39" s="719">
        <v>318.55475199999995</v>
      </c>
      <c r="W39" s="711">
        <v>289.27467748855423</v>
      </c>
      <c r="X39" s="711">
        <v>327.32710493877346</v>
      </c>
      <c r="Y39" s="711">
        <v>561.14665711777366</v>
      </c>
      <c r="Z39" s="711">
        <v>714.81335909656366</v>
      </c>
      <c r="AA39" s="712">
        <v>824.1348981565643</v>
      </c>
      <c r="AB39" s="708">
        <v>0.23781879549001128</v>
      </c>
    </row>
    <row r="40" spans="2:28" x14ac:dyDescent="0.15">
      <c r="B40" s="709" t="s">
        <v>29</v>
      </c>
      <c r="C40" s="710">
        <v>18936.900000000001</v>
      </c>
      <c r="D40" s="711">
        <v>20016.5</v>
      </c>
      <c r="E40" s="711">
        <v>17686.099999999999</v>
      </c>
      <c r="F40" s="712">
        <v>17978.215571639998</v>
      </c>
      <c r="G40" s="711">
        <v>18553.592209480001</v>
      </c>
      <c r="H40" s="711">
        <v>14149.410953940001</v>
      </c>
      <c r="I40" s="711">
        <v>17977.988141000002</v>
      </c>
      <c r="J40" s="711">
        <v>15596.3180851</v>
      </c>
      <c r="K40" s="710">
        <v>17943.167024360002</v>
      </c>
      <c r="L40" s="711">
        <f>BS!T18</f>
        <v>19222.920053549999</v>
      </c>
      <c r="M40" s="711">
        <f>BS!U18</f>
        <v>20770.39168017</v>
      </c>
      <c r="N40" s="712">
        <f>BS!V18</f>
        <v>18432.994277309997</v>
      </c>
      <c r="O40" s="712">
        <f>BS!W18</f>
        <v>20643.293641169999</v>
      </c>
      <c r="P40" s="610"/>
      <c r="Q40" s="613"/>
      <c r="U40" s="710">
        <v>6791.4830126199995</v>
      </c>
      <c r="V40" s="719">
        <v>11920.553596039999</v>
      </c>
      <c r="W40" s="711">
        <v>11209.623608230002</v>
      </c>
      <c r="X40" s="711">
        <v>15302.263949839999</v>
      </c>
      <c r="Y40" s="711">
        <v>13816.270803259999</v>
      </c>
      <c r="Z40" s="711">
        <v>17978.215571639998</v>
      </c>
      <c r="AA40" s="712">
        <v>15596.3180851</v>
      </c>
      <c r="AB40" s="708">
        <v>0.14861965664193244</v>
      </c>
    </row>
    <row r="41" spans="2:28" x14ac:dyDescent="0.15">
      <c r="B41" s="731" t="s">
        <v>30</v>
      </c>
      <c r="C41" s="732">
        <v>3756.7000000000003</v>
      </c>
      <c r="D41" s="733">
        <v>4159.2999999999993</v>
      </c>
      <c r="E41" s="733">
        <v>4315.8999999999996</v>
      </c>
      <c r="F41" s="734">
        <v>4636.2765682826275</v>
      </c>
      <c r="G41" s="733">
        <v>4364.2350009697238</v>
      </c>
      <c r="H41" s="733">
        <v>4708.3591926929512</v>
      </c>
      <c r="I41" s="733">
        <v>4900.7529430028226</v>
      </c>
      <c r="J41" s="733">
        <v>5167.0106235328676</v>
      </c>
      <c r="K41" s="710">
        <v>5260.7966790723294</v>
      </c>
      <c r="L41" s="733">
        <f>BS!T19</f>
        <v>5594.9464598975137</v>
      </c>
      <c r="M41" s="733">
        <f>BS!U19</f>
        <v>5894.2729653330498</v>
      </c>
      <c r="N41" s="734">
        <f>BS!V19</f>
        <v>6335.4780822976136</v>
      </c>
      <c r="O41" s="734">
        <f>BS!W19</f>
        <v>6422.3995386307834</v>
      </c>
      <c r="P41" s="610"/>
      <c r="Q41" s="613"/>
      <c r="U41" s="710">
        <v>1957.7785687870169</v>
      </c>
      <c r="V41" s="719">
        <v>2478</v>
      </c>
      <c r="W41" s="711">
        <v>2823.7073140583293</v>
      </c>
      <c r="X41" s="711">
        <v>3364.8308420710709</v>
      </c>
      <c r="Y41" s="711">
        <v>3734.3419038004618</v>
      </c>
      <c r="Z41" s="711">
        <v>4636.2765682826275</v>
      </c>
      <c r="AA41" s="734">
        <v>5167.0106235328676</v>
      </c>
      <c r="AB41" s="735"/>
    </row>
    <row r="42" spans="2:28" x14ac:dyDescent="0.15">
      <c r="B42" s="722" t="s">
        <v>24</v>
      </c>
      <c r="C42" s="723">
        <v>143991.6</v>
      </c>
      <c r="D42" s="724">
        <v>150375.99999999997</v>
      </c>
      <c r="E42" s="724">
        <v>154497.1</v>
      </c>
      <c r="F42" s="725">
        <v>165194.53694089031</v>
      </c>
      <c r="G42" s="724">
        <v>169924.15302247199</v>
      </c>
      <c r="H42" s="724">
        <v>168851.206960187</v>
      </c>
      <c r="I42" s="724">
        <v>178900.46835389701</v>
      </c>
      <c r="J42" s="724">
        <v>186184.74056931966</v>
      </c>
      <c r="K42" s="723">
        <f>SUM(K37:K41)</f>
        <v>192726.85694155272</v>
      </c>
      <c r="L42" s="724">
        <f>BS!T20</f>
        <v>194410.40066779521</v>
      </c>
      <c r="M42" s="724">
        <f>BS!U20</f>
        <v>202897.38112483607</v>
      </c>
      <c r="N42" s="725">
        <f>BS!V20</f>
        <v>212125.0080746412</v>
      </c>
      <c r="O42" s="725">
        <f>BS!W20</f>
        <v>217850.01068710812</v>
      </c>
      <c r="P42" s="610"/>
      <c r="Q42" s="613"/>
      <c r="U42" s="723">
        <v>56268.27771450131</v>
      </c>
      <c r="V42" s="724">
        <v>76570.091109211833</v>
      </c>
      <c r="W42" s="724">
        <v>89600.468571687903</v>
      </c>
      <c r="X42" s="724">
        <v>110203.83140671226</v>
      </c>
      <c r="Y42" s="724">
        <v>134105.30977825899</v>
      </c>
      <c r="Z42" s="724">
        <v>165194.53694088999</v>
      </c>
      <c r="AA42" s="725">
        <v>186184.74056931966</v>
      </c>
      <c r="AB42" s="726">
        <v>0.2207125521244433</v>
      </c>
    </row>
    <row r="43" spans="2:28" x14ac:dyDescent="0.15">
      <c r="B43" s="736"/>
      <c r="C43" s="737"/>
      <c r="D43" s="737"/>
      <c r="E43" s="737"/>
      <c r="F43" s="737"/>
      <c r="G43" s="737"/>
      <c r="H43" s="737"/>
      <c r="I43" s="737"/>
      <c r="J43" s="737"/>
      <c r="K43" s="737"/>
      <c r="L43" s="737"/>
      <c r="M43" s="737"/>
      <c r="N43" s="737"/>
      <c r="O43" s="738"/>
      <c r="P43" s="610"/>
      <c r="Q43" s="613"/>
      <c r="R43" s="737"/>
      <c r="S43" s="737"/>
      <c r="T43" s="737"/>
      <c r="U43" s="737"/>
      <c r="V43" s="737"/>
      <c r="W43" s="737"/>
      <c r="X43" s="737"/>
      <c r="Y43" s="739"/>
      <c r="Z43" s="610"/>
      <c r="AA43" s="610"/>
      <c r="AB43" s="610"/>
    </row>
    <row r="44" spans="2:28" x14ac:dyDescent="0.15">
      <c r="B44" s="615" t="s">
        <v>268</v>
      </c>
      <c r="H44" s="612"/>
      <c r="I44" s="612"/>
      <c r="J44" s="612"/>
      <c r="K44" s="612"/>
      <c r="O44" s="610"/>
      <c r="P44" s="610"/>
      <c r="Q44" s="613"/>
      <c r="R44" s="737"/>
      <c r="S44" s="737"/>
      <c r="T44" s="737"/>
      <c r="U44" s="737"/>
      <c r="V44" s="737"/>
      <c r="W44" s="737"/>
      <c r="X44" s="737"/>
      <c r="Y44" s="739"/>
      <c r="Z44" s="610"/>
      <c r="AA44" s="610"/>
      <c r="AB44" s="610"/>
    </row>
    <row r="45" spans="2:28" x14ac:dyDescent="0.15">
      <c r="B45" s="699" t="s">
        <v>162</v>
      </c>
      <c r="C45" s="740" t="s">
        <v>1</v>
      </c>
      <c r="D45" s="741" t="s">
        <v>2</v>
      </c>
      <c r="E45" s="741" t="s">
        <v>3</v>
      </c>
      <c r="F45" s="742" t="s">
        <v>96</v>
      </c>
      <c r="G45" s="741" t="s">
        <v>97</v>
      </c>
      <c r="H45" s="741" t="s">
        <v>131</v>
      </c>
      <c r="I45" s="741" t="s">
        <v>174</v>
      </c>
      <c r="J45" s="741" t="s">
        <v>238</v>
      </c>
      <c r="K45" s="740" t="s">
        <v>251</v>
      </c>
      <c r="L45" s="741" t="s">
        <v>271</v>
      </c>
      <c r="M45" s="741" t="str">
        <f>M4</f>
        <v>Q3FY26</v>
      </c>
      <c r="N45" s="743" t="str">
        <f>N4</f>
        <v>Q4FY26</v>
      </c>
      <c r="O45" s="743" t="str">
        <f>O4</f>
        <v>Q1FY27</v>
      </c>
      <c r="P45" s="610"/>
      <c r="Q45" s="613"/>
      <c r="R45" s="737"/>
      <c r="S45" s="737"/>
      <c r="T45" s="737"/>
      <c r="U45" s="737"/>
      <c r="V45" s="737"/>
      <c r="W45" s="737"/>
      <c r="X45" s="737"/>
      <c r="Y45" s="739"/>
      <c r="Z45" s="610"/>
      <c r="AA45" s="610"/>
      <c r="AB45" s="610"/>
    </row>
    <row r="46" spans="2:28" x14ac:dyDescent="0.15">
      <c r="B46" s="744" t="s">
        <v>31</v>
      </c>
      <c r="C46" s="745">
        <v>146500.31116819009</v>
      </c>
      <c r="D46" s="746">
        <v>153194.65728326049</v>
      </c>
      <c r="E46" s="746">
        <v>160794.79122399099</v>
      </c>
      <c r="F46" s="747">
        <v>173126.46641333701</v>
      </c>
      <c r="G46" s="746">
        <v>178414.81821337951</v>
      </c>
      <c r="H46" s="746">
        <v>183956</v>
      </c>
      <c r="I46" s="746">
        <v>192380.49527570899</v>
      </c>
      <c r="J46" s="746">
        <v>204201.76</v>
      </c>
      <c r="K46" s="705">
        <v>207397</v>
      </c>
      <c r="L46" s="746">
        <v>213566.49908184499</v>
      </c>
      <c r="M46" s="746">
        <v>222035.281715155</v>
      </c>
      <c r="N46" s="747">
        <f>+Operational!V4</f>
        <v>234517.1</v>
      </c>
      <c r="O46" s="747">
        <f>+Operational!W4</f>
        <v>239305.60000000001</v>
      </c>
      <c r="P46" s="610"/>
      <c r="Q46" s="613"/>
      <c r="R46" s="737"/>
      <c r="S46" s="737"/>
      <c r="T46" s="737"/>
      <c r="U46" s="737"/>
      <c r="V46" s="737"/>
      <c r="W46" s="737"/>
      <c r="X46" s="737"/>
      <c r="Y46" s="739"/>
      <c r="Z46" s="610"/>
      <c r="AA46" s="610"/>
      <c r="AB46" s="610"/>
    </row>
    <row r="47" spans="2:28" x14ac:dyDescent="0.15">
      <c r="B47" s="748" t="s">
        <v>32</v>
      </c>
      <c r="C47" s="669">
        <v>10682.141673730001</v>
      </c>
      <c r="D47" s="670">
        <v>12584.580700729999</v>
      </c>
      <c r="E47" s="670">
        <v>13624.221644279904</v>
      </c>
      <c r="F47" s="749">
        <v>18931.210158225957</v>
      </c>
      <c r="G47" s="670">
        <v>12109.2</v>
      </c>
      <c r="H47" s="670">
        <v>12940.252185133999</v>
      </c>
      <c r="I47" s="670">
        <v>15942.166247090001</v>
      </c>
      <c r="J47" s="670">
        <v>20238.441567776001</v>
      </c>
      <c r="K47" s="669">
        <v>11454</v>
      </c>
      <c r="L47" s="670">
        <v>15598.6</v>
      </c>
      <c r="M47" s="670">
        <v>17218.863541549999</v>
      </c>
      <c r="N47" s="749">
        <f>+Operational!V5</f>
        <v>23481.32</v>
      </c>
      <c r="O47" s="749">
        <f>+Operational!W5</f>
        <v>16139.16</v>
      </c>
      <c r="P47" s="610"/>
      <c r="Q47" s="613"/>
      <c r="R47" s="737"/>
      <c r="S47" s="737"/>
      <c r="T47" s="737"/>
      <c r="U47" s="737"/>
      <c r="V47" s="737"/>
      <c r="W47" s="737"/>
      <c r="X47" s="737"/>
      <c r="Y47" s="739"/>
      <c r="Z47" s="610"/>
      <c r="AA47" s="610"/>
      <c r="AB47" s="610"/>
    </row>
    <row r="48" spans="2:28" x14ac:dyDescent="0.15">
      <c r="B48" s="750" t="s">
        <v>137</v>
      </c>
      <c r="C48" s="751"/>
      <c r="D48" s="752"/>
      <c r="E48" s="752"/>
      <c r="F48" s="753"/>
      <c r="G48" s="752"/>
      <c r="H48" s="752"/>
      <c r="I48" s="752"/>
      <c r="J48" s="752"/>
      <c r="K48" s="754"/>
      <c r="L48" s="752"/>
      <c r="M48" s="752"/>
      <c r="N48" s="755"/>
      <c r="O48" s="755"/>
      <c r="P48" s="610"/>
      <c r="Q48" s="613"/>
      <c r="R48" s="737"/>
      <c r="S48" s="737"/>
      <c r="T48" s="737"/>
      <c r="U48" s="737"/>
      <c r="V48" s="737"/>
      <c r="W48" s="737"/>
      <c r="X48" s="737"/>
      <c r="Y48" s="739"/>
      <c r="Z48" s="610"/>
      <c r="AA48" s="610"/>
      <c r="AB48" s="610"/>
    </row>
    <row r="49" spans="2:28" x14ac:dyDescent="0.15">
      <c r="B49" s="757" t="s">
        <v>129</v>
      </c>
      <c r="C49" s="758">
        <v>0.69799999999999995</v>
      </c>
      <c r="D49" s="759">
        <v>0.69699999999999995</v>
      </c>
      <c r="E49" s="759">
        <v>0.69299999999999995</v>
      </c>
      <c r="F49" s="760">
        <v>0.69299999999999995</v>
      </c>
      <c r="G49" s="759">
        <v>0.69199999999999995</v>
      </c>
      <c r="H49" s="759">
        <v>0.69</v>
      </c>
      <c r="I49" s="759">
        <v>0.68608960168096667</v>
      </c>
      <c r="J49" s="759">
        <v>0.67970122685040646</v>
      </c>
      <c r="K49" s="761">
        <v>0.67459992188893758</v>
      </c>
      <c r="L49" s="759">
        <v>0.66914898493672859</v>
      </c>
      <c r="M49" s="759">
        <v>0.66179656360483707</v>
      </c>
      <c r="N49" s="760">
        <f>+Operational!V7</f>
        <v>0.65008265921760078</v>
      </c>
      <c r="O49" s="760">
        <f>+Operational!W7</f>
        <v>0.64278102977949536</v>
      </c>
      <c r="P49" s="610"/>
      <c r="Q49" s="613"/>
      <c r="R49" s="737"/>
      <c r="S49" s="737"/>
      <c r="T49" s="737"/>
      <c r="U49" s="737"/>
      <c r="V49" s="737"/>
      <c r="W49" s="737"/>
      <c r="X49" s="737"/>
      <c r="Y49" s="739"/>
      <c r="Z49" s="610"/>
      <c r="AA49" s="610"/>
      <c r="AB49" s="610"/>
    </row>
    <row r="50" spans="2:28" x14ac:dyDescent="0.15">
      <c r="B50" s="709" t="s">
        <v>143</v>
      </c>
      <c r="C50" s="761">
        <v>0.30200000000000005</v>
      </c>
      <c r="D50" s="762">
        <v>0.30300000000000005</v>
      </c>
      <c r="E50" s="762">
        <v>0.30700000000000005</v>
      </c>
      <c r="F50" s="763">
        <v>0.30700000000000005</v>
      </c>
      <c r="G50" s="762">
        <v>0.308</v>
      </c>
      <c r="H50" s="762">
        <v>0.31</v>
      </c>
      <c r="I50" s="762">
        <v>0.31391039831903333</v>
      </c>
      <c r="J50" s="762">
        <v>0.32029877314959349</v>
      </c>
      <c r="K50" s="761">
        <v>0.32540489978157827</v>
      </c>
      <c r="L50" s="762">
        <v>0.33085101506327141</v>
      </c>
      <c r="M50" s="762">
        <v>0.33820343639516293</v>
      </c>
      <c r="N50" s="763">
        <f>+Operational!V8</f>
        <v>0.34991734078239922</v>
      </c>
      <c r="O50" s="763">
        <f>+Operational!W8</f>
        <v>0.35721897022050464</v>
      </c>
      <c r="P50" s="610"/>
      <c r="Q50" s="613"/>
      <c r="R50" s="737"/>
      <c r="S50" s="737"/>
      <c r="T50" s="737"/>
      <c r="U50" s="737"/>
      <c r="V50" s="737"/>
      <c r="W50" s="737"/>
      <c r="X50" s="737"/>
      <c r="Y50" s="739"/>
      <c r="Z50" s="610"/>
      <c r="AA50" s="610"/>
      <c r="AB50" s="610"/>
    </row>
    <row r="51" spans="2:28" x14ac:dyDescent="0.15">
      <c r="B51" s="764" t="s">
        <v>158</v>
      </c>
      <c r="C51" s="765">
        <v>0.104</v>
      </c>
      <c r="D51" s="766">
        <v>0.12</v>
      </c>
      <c r="E51" s="766">
        <v>0.13200000000000001</v>
      </c>
      <c r="F51" s="767">
        <v>0.17</v>
      </c>
      <c r="G51" s="766">
        <v>0.17299999999999999</v>
      </c>
      <c r="H51" s="766">
        <v>0.17899999999999999</v>
      </c>
      <c r="I51" s="766">
        <v>0.18404745695075322</v>
      </c>
      <c r="J51" s="766">
        <v>0.192</v>
      </c>
      <c r="K51" s="765">
        <v>0.19752937602761853</v>
      </c>
      <c r="L51" s="766">
        <v>0.20396029007736199</v>
      </c>
      <c r="M51" s="766">
        <v>0.21202513117301325</v>
      </c>
      <c r="N51" s="767">
        <f>+Operational!V9</f>
        <v>0.2242318363991368</v>
      </c>
      <c r="O51" s="767">
        <f>+Operational!W9</f>
        <v>0.23101044068305787</v>
      </c>
      <c r="P51" s="610"/>
      <c r="Q51" s="613"/>
      <c r="R51" s="737"/>
      <c r="S51" s="737"/>
      <c r="T51" s="737"/>
      <c r="U51" s="737"/>
      <c r="V51" s="737"/>
      <c r="W51" s="737"/>
      <c r="X51" s="737"/>
      <c r="Y51" s="739"/>
      <c r="Z51" s="610"/>
      <c r="AA51" s="610"/>
      <c r="AB51" s="610"/>
    </row>
    <row r="52" spans="2:28" x14ac:dyDescent="0.15">
      <c r="B52" s="764" t="s">
        <v>159</v>
      </c>
      <c r="C52" s="765">
        <v>0.19800000000000006</v>
      </c>
      <c r="D52" s="766">
        <v>0.18300000000000005</v>
      </c>
      <c r="E52" s="766">
        <v>0.17500000000000004</v>
      </c>
      <c r="F52" s="767">
        <v>0.13700000000000001</v>
      </c>
      <c r="G52" s="766">
        <v>0.13500000000000001</v>
      </c>
      <c r="H52" s="766">
        <v>0.13100000000000001</v>
      </c>
      <c r="I52" s="766">
        <v>0.12986294136828039</v>
      </c>
      <c r="J52" s="766">
        <v>0.128</v>
      </c>
      <c r="K52" s="765">
        <v>0.12787552375395977</v>
      </c>
      <c r="L52" s="766">
        <v>0.12689072498590942</v>
      </c>
      <c r="M52" s="766">
        <v>0.12617830522214965</v>
      </c>
      <c r="N52" s="767">
        <f>+Operational!V10</f>
        <v>0.12568550438326245</v>
      </c>
      <c r="O52" s="767">
        <f>+Operational!W10</f>
        <v>0.12620857225947985</v>
      </c>
      <c r="P52" s="610"/>
      <c r="Q52" s="613"/>
      <c r="R52" s="737"/>
      <c r="S52" s="737"/>
      <c r="T52" s="737"/>
      <c r="U52" s="737"/>
      <c r="V52" s="737"/>
      <c r="W52" s="737"/>
      <c r="X52" s="737"/>
      <c r="Y52" s="739"/>
      <c r="Z52" s="610"/>
      <c r="AA52" s="610"/>
      <c r="AB52" s="610"/>
    </row>
    <row r="53" spans="2:28" x14ac:dyDescent="0.15">
      <c r="B53" s="768" t="s">
        <v>138</v>
      </c>
      <c r="C53" s="754"/>
      <c r="D53" s="769"/>
      <c r="E53" s="769"/>
      <c r="F53" s="770"/>
      <c r="G53" s="769"/>
      <c r="H53" s="769"/>
      <c r="I53" s="769"/>
      <c r="J53" s="769"/>
      <c r="K53" s="754"/>
      <c r="L53" s="769"/>
      <c r="M53" s="769"/>
      <c r="N53" s="755"/>
      <c r="O53" s="755"/>
      <c r="P53" s="610"/>
      <c r="Q53" s="613"/>
      <c r="R53" s="737"/>
      <c r="S53" s="737"/>
      <c r="T53" s="737"/>
      <c r="U53" s="737"/>
      <c r="V53" s="737"/>
      <c r="W53" s="737"/>
      <c r="X53" s="737"/>
      <c r="Y53" s="739"/>
      <c r="Z53" s="610"/>
      <c r="AA53" s="610"/>
      <c r="AB53" s="610"/>
    </row>
    <row r="54" spans="2:28" x14ac:dyDescent="0.15">
      <c r="B54" s="771" t="s">
        <v>129</v>
      </c>
      <c r="C54" s="772">
        <v>0.66779999999999995</v>
      </c>
      <c r="D54" s="773">
        <v>0.66863111247393159</v>
      </c>
      <c r="E54" s="773">
        <v>0.65899608186520398</v>
      </c>
      <c r="F54" s="774">
        <v>0.66449999999999998</v>
      </c>
      <c r="G54" s="773">
        <v>0.66600000000000004</v>
      </c>
      <c r="H54" s="773">
        <v>0.65600000000000003</v>
      </c>
      <c r="I54" s="773">
        <v>0.6476674782176558</v>
      </c>
      <c r="J54" s="773">
        <v>0.61454745563372837</v>
      </c>
      <c r="K54" s="772">
        <v>0.56774925790116992</v>
      </c>
      <c r="L54" s="773">
        <v>0.59517088891211012</v>
      </c>
      <c r="M54" s="773">
        <v>0.56747703699057084</v>
      </c>
      <c r="N54" s="775">
        <f>+Operational!V12</f>
        <v>0.54898061986153934</v>
      </c>
      <c r="O54" s="775">
        <f>+Operational!W12</f>
        <v>0.55572629289646602</v>
      </c>
      <c r="P54" s="610"/>
      <c r="Q54" s="613"/>
      <c r="R54" s="737"/>
      <c r="S54" s="737"/>
      <c r="T54" s="737"/>
      <c r="U54" s="737"/>
      <c r="V54" s="737"/>
      <c r="W54" s="737"/>
      <c r="X54" s="737"/>
      <c r="Y54" s="739"/>
      <c r="Z54" s="610"/>
      <c r="AA54" s="610"/>
      <c r="AB54" s="610"/>
    </row>
    <row r="55" spans="2:28" x14ac:dyDescent="0.15">
      <c r="B55" s="771" t="s">
        <v>143</v>
      </c>
      <c r="C55" s="772">
        <v>0.33220000000000011</v>
      </c>
      <c r="D55" s="773">
        <v>0.3313688875260683</v>
      </c>
      <c r="E55" s="773">
        <v>0.34100391813479597</v>
      </c>
      <c r="F55" s="774">
        <v>0.33550000000000002</v>
      </c>
      <c r="G55" s="773">
        <v>0.33399999999999996</v>
      </c>
      <c r="H55" s="773">
        <v>0.34399999999999997</v>
      </c>
      <c r="I55" s="773">
        <f>+SUM(I56:I57)</f>
        <v>0.35233252178234425</v>
      </c>
      <c r="J55" s="773">
        <v>0.38545254436627163</v>
      </c>
      <c r="K55" s="772">
        <v>0.43233804784354812</v>
      </c>
      <c r="L55" s="773">
        <v>0.40482911108788983</v>
      </c>
      <c r="M55" s="773">
        <v>0.43252296300942905</v>
      </c>
      <c r="N55" s="774">
        <f>+Operational!V13</f>
        <v>0.45089572688770685</v>
      </c>
      <c r="O55" s="774">
        <f>+Operational!W13</f>
        <v>0.44427370710353398</v>
      </c>
      <c r="P55" s="610"/>
      <c r="Q55" s="613"/>
      <c r="R55" s="737"/>
      <c r="S55" s="737"/>
      <c r="T55" s="737"/>
      <c r="U55" s="737"/>
      <c r="V55" s="737"/>
      <c r="W55" s="737"/>
      <c r="X55" s="737"/>
      <c r="Y55" s="739"/>
      <c r="Z55" s="610"/>
      <c r="AA55" s="610"/>
      <c r="AB55" s="610"/>
    </row>
    <row r="56" spans="2:28" x14ac:dyDescent="0.15">
      <c r="B56" s="764" t="s">
        <v>158</v>
      </c>
      <c r="C56" s="765">
        <v>0.1114</v>
      </c>
      <c r="D56" s="766">
        <v>0.12605415930540226</v>
      </c>
      <c r="E56" s="766">
        <v>0.18574105028391921</v>
      </c>
      <c r="F56" s="767">
        <v>0.24629999999999999</v>
      </c>
      <c r="G56" s="766">
        <v>0.22</v>
      </c>
      <c r="H56" s="766">
        <v>0.23</v>
      </c>
      <c r="I56" s="766">
        <v>0.23789487427020908</v>
      </c>
      <c r="J56" s="766">
        <v>0.27090676869522784</v>
      </c>
      <c r="K56" s="765">
        <v>0.31246726034573075</v>
      </c>
      <c r="L56" s="766">
        <v>0.29332123024318757</v>
      </c>
      <c r="M56" s="766">
        <v>0.31420558733160925</v>
      </c>
      <c r="N56" s="767">
        <f>+Operational!V14</f>
        <v>0.33346926114159858</v>
      </c>
      <c r="O56" s="767">
        <f>+Operational!W14</f>
        <v>0.31709848412091096</v>
      </c>
      <c r="P56" s="610"/>
      <c r="Q56" s="613"/>
      <c r="R56" s="737"/>
      <c r="S56" s="737"/>
      <c r="T56" s="737"/>
      <c r="U56" s="737"/>
      <c r="V56" s="737"/>
      <c r="W56" s="737"/>
      <c r="X56" s="737"/>
      <c r="Y56" s="739"/>
      <c r="Z56" s="610"/>
      <c r="AA56" s="610"/>
      <c r="AB56" s="610"/>
    </row>
    <row r="57" spans="2:28" x14ac:dyDescent="0.15">
      <c r="B57" s="764" t="s">
        <v>159</v>
      </c>
      <c r="C57" s="765">
        <v>0.22080000000000011</v>
      </c>
      <c r="D57" s="766">
        <v>0.20531472822066607</v>
      </c>
      <c r="E57" s="766">
        <v>0.15526286785087676</v>
      </c>
      <c r="F57" s="767">
        <v>8.9200000000000057E-2</v>
      </c>
      <c r="G57" s="766">
        <v>0.11399999999999999</v>
      </c>
      <c r="H57" s="766">
        <v>0.11399999999999999</v>
      </c>
      <c r="I57" s="766">
        <v>0.11443764751213516</v>
      </c>
      <c r="J57" s="766">
        <v>0.11454577567104378</v>
      </c>
      <c r="K57" s="765">
        <v>0.11987078749781736</v>
      </c>
      <c r="L57" s="766">
        <v>0.11150788084470226</v>
      </c>
      <c r="M57" s="766">
        <v>0.1181300866080648</v>
      </c>
      <c r="N57" s="767">
        <f>+Operational!V15</f>
        <v>0.1175638049133669</v>
      </c>
      <c r="O57" s="767">
        <f>+Operational!W15</f>
        <v>0.12717522298262302</v>
      </c>
      <c r="P57" s="610"/>
      <c r="Q57" s="613"/>
      <c r="R57" s="737"/>
      <c r="S57" s="737"/>
      <c r="T57" s="737"/>
      <c r="U57" s="737"/>
      <c r="V57" s="737"/>
      <c r="W57" s="737"/>
      <c r="X57" s="737"/>
      <c r="Y57" s="739"/>
      <c r="Z57" s="610"/>
      <c r="AA57" s="610"/>
      <c r="AB57" s="610"/>
    </row>
    <row r="58" spans="2:28" x14ac:dyDescent="0.15">
      <c r="B58" s="750" t="s">
        <v>144</v>
      </c>
      <c r="C58" s="751"/>
      <c r="D58" s="752"/>
      <c r="E58" s="752"/>
      <c r="F58" s="753"/>
      <c r="G58" s="752"/>
      <c r="H58" s="752"/>
      <c r="I58" s="752"/>
      <c r="J58" s="752"/>
      <c r="K58" s="754"/>
      <c r="L58" s="752"/>
      <c r="M58" s="752"/>
      <c r="N58" s="755"/>
      <c r="O58" s="755"/>
      <c r="P58" s="610"/>
      <c r="Q58" s="613"/>
      <c r="R58" s="737"/>
      <c r="S58" s="737"/>
      <c r="T58" s="737"/>
      <c r="U58" s="737"/>
      <c r="V58" s="737"/>
      <c r="W58" s="737"/>
      <c r="X58" s="737"/>
      <c r="Y58" s="739"/>
      <c r="Z58" s="610"/>
      <c r="AA58" s="610"/>
      <c r="AB58" s="610"/>
    </row>
    <row r="59" spans="2:28" x14ac:dyDescent="0.15">
      <c r="B59" s="776" t="s">
        <v>139</v>
      </c>
      <c r="C59" s="777">
        <v>8.9</v>
      </c>
      <c r="D59" s="778">
        <v>9.0231576384308401</v>
      </c>
      <c r="E59" s="778">
        <v>9.1216619667095795</v>
      </c>
      <c r="F59" s="779">
        <v>9.2932918572560403</v>
      </c>
      <c r="G59" s="778">
        <v>9.3429013862106398</v>
      </c>
      <c r="H59" s="778">
        <v>9.4230754568056998</v>
      </c>
      <c r="I59" s="778">
        <v>9.530318516585</v>
      </c>
      <c r="J59" s="778">
        <v>9.68</v>
      </c>
      <c r="K59" s="780">
        <v>9.6999999999999993</v>
      </c>
      <c r="L59" s="778">
        <v>9.8000000000000007</v>
      </c>
      <c r="M59" s="778">
        <v>10</v>
      </c>
      <c r="N59" s="779">
        <f>+Operational!V17</f>
        <v>10.199999999999999</v>
      </c>
      <c r="O59" s="779">
        <f>+Operational!W17</f>
        <v>10.3</v>
      </c>
      <c r="P59" s="610"/>
      <c r="Q59" s="613"/>
      <c r="R59" s="737"/>
      <c r="S59" s="737"/>
      <c r="T59" s="737"/>
      <c r="U59" s="737"/>
      <c r="V59" s="737"/>
      <c r="W59" s="737"/>
      <c r="X59" s="737"/>
      <c r="Y59" s="739"/>
      <c r="Z59" s="610"/>
      <c r="AA59" s="610"/>
      <c r="AB59" s="610"/>
    </row>
    <row r="60" spans="2:28" x14ac:dyDescent="0.15">
      <c r="B60" s="781" t="s">
        <v>129</v>
      </c>
      <c r="C60" s="782">
        <v>9.6999999999999993</v>
      </c>
      <c r="D60" s="783">
        <v>9.9</v>
      </c>
      <c r="E60" s="783">
        <v>10</v>
      </c>
      <c r="F60" s="784">
        <v>10.199999999999999</v>
      </c>
      <c r="G60" s="783">
        <v>10.3</v>
      </c>
      <c r="H60" s="783">
        <v>10.4</v>
      </c>
      <c r="I60" s="783">
        <v>10.5394996379069</v>
      </c>
      <c r="J60" s="783">
        <v>10.705</v>
      </c>
      <c r="K60" s="782">
        <v>10.7</v>
      </c>
      <c r="L60" s="783">
        <v>10.8</v>
      </c>
      <c r="M60" s="783">
        <v>10.9</v>
      </c>
      <c r="N60" s="784">
        <f>+Operational!V18</f>
        <v>11.14</v>
      </c>
      <c r="O60" s="784">
        <f>+Operational!W18</f>
        <v>11.2</v>
      </c>
      <c r="P60" s="610"/>
      <c r="Q60" s="613"/>
      <c r="R60" s="737"/>
      <c r="S60" s="737"/>
      <c r="T60" s="737"/>
      <c r="U60" s="737"/>
      <c r="V60" s="737"/>
      <c r="W60" s="737"/>
      <c r="X60" s="737"/>
      <c r="Y60" s="739"/>
      <c r="Z60" s="610"/>
      <c r="AA60" s="610"/>
      <c r="AB60" s="610"/>
    </row>
    <row r="61" spans="2:28" x14ac:dyDescent="0.15">
      <c r="B61" s="781" t="s">
        <v>143</v>
      </c>
      <c r="C61" s="782">
        <v>7.4</v>
      </c>
      <c r="D61" s="783">
        <v>7.4</v>
      </c>
      <c r="E61" s="783">
        <v>7.5</v>
      </c>
      <c r="F61" s="784">
        <v>7.6</v>
      </c>
      <c r="G61" s="785">
        <v>7.7</v>
      </c>
      <c r="H61" s="785">
        <v>7.7</v>
      </c>
      <c r="I61" s="785">
        <v>7.81873556567888</v>
      </c>
      <c r="J61" s="785">
        <v>7.9859999999999998</v>
      </c>
      <c r="K61" s="786">
        <v>8.1</v>
      </c>
      <c r="L61" s="785">
        <v>8.1999999999999993</v>
      </c>
      <c r="M61" s="785">
        <v>8.4326842873596881</v>
      </c>
      <c r="N61" s="787">
        <f>+Operational!V19</f>
        <v>8.8000000000000007</v>
      </c>
      <c r="O61" s="787">
        <f>+Operational!W19</f>
        <v>8.9</v>
      </c>
      <c r="P61" s="610"/>
      <c r="Q61" s="613"/>
      <c r="R61" s="737"/>
      <c r="S61" s="737"/>
      <c r="T61" s="737"/>
      <c r="U61" s="737"/>
      <c r="V61" s="737"/>
      <c r="W61" s="737"/>
      <c r="X61" s="737"/>
      <c r="Y61" s="739"/>
      <c r="Z61" s="610"/>
      <c r="AA61" s="610"/>
      <c r="AB61" s="610"/>
    </row>
    <row r="62" spans="2:28" x14ac:dyDescent="0.15">
      <c r="B62" s="764" t="s">
        <v>158</v>
      </c>
      <c r="C62" s="788">
        <v>7.8</v>
      </c>
      <c r="D62" s="789">
        <v>7.9</v>
      </c>
      <c r="E62" s="789">
        <v>8.1</v>
      </c>
      <c r="F62" s="790">
        <v>8.5</v>
      </c>
      <c r="G62" s="789">
        <v>8.5</v>
      </c>
      <c r="H62" s="789">
        <v>8.1999999999999993</v>
      </c>
      <c r="I62" s="789">
        <v>8.2828277265407699</v>
      </c>
      <c r="J62" s="789">
        <v>8.43</v>
      </c>
      <c r="K62" s="788">
        <v>8.5</v>
      </c>
      <c r="L62" s="789">
        <v>8.6999999999999993</v>
      </c>
      <c r="M62" s="789">
        <v>8.9</v>
      </c>
      <c r="N62" s="790">
        <f>+Operational!V20</f>
        <v>9.39</v>
      </c>
      <c r="O62" s="790">
        <f>+Operational!W20</f>
        <v>9.5299999999999994</v>
      </c>
      <c r="P62" s="610"/>
      <c r="Q62" s="613"/>
      <c r="R62" s="737"/>
      <c r="S62" s="737"/>
      <c r="T62" s="737"/>
      <c r="U62" s="737"/>
      <c r="V62" s="737"/>
      <c r="W62" s="737"/>
      <c r="X62" s="737"/>
      <c r="Y62" s="739"/>
      <c r="Z62" s="610"/>
      <c r="AA62" s="610"/>
      <c r="AB62" s="610"/>
    </row>
    <row r="63" spans="2:28" x14ac:dyDescent="0.15">
      <c r="B63" s="764" t="s">
        <v>159</v>
      </c>
      <c r="C63" s="788">
        <v>7.2</v>
      </c>
      <c r="D63" s="789">
        <v>7.2</v>
      </c>
      <c r="E63" s="789">
        <v>7.1</v>
      </c>
      <c r="F63" s="790">
        <v>6.8</v>
      </c>
      <c r="G63" s="789">
        <v>6.9</v>
      </c>
      <c r="H63" s="789">
        <v>7.2</v>
      </c>
      <c r="I63" s="789">
        <v>7.2637955857860916</v>
      </c>
      <c r="J63" s="789">
        <v>7.42</v>
      </c>
      <c r="K63" s="788">
        <v>7.5</v>
      </c>
      <c r="L63" s="789">
        <v>7.6</v>
      </c>
      <c r="M63" s="789">
        <v>7.7</v>
      </c>
      <c r="N63" s="790">
        <f>+Operational!V21</f>
        <v>7.9</v>
      </c>
      <c r="O63" s="790">
        <f>+Operational!W21</f>
        <v>7.99</v>
      </c>
      <c r="P63" s="610"/>
      <c r="Q63" s="613"/>
      <c r="R63" s="737"/>
      <c r="S63" s="737"/>
      <c r="T63" s="737"/>
      <c r="U63" s="737"/>
      <c r="V63" s="737"/>
      <c r="W63" s="737"/>
      <c r="X63" s="737"/>
      <c r="Y63" s="739"/>
      <c r="Z63" s="610"/>
      <c r="AA63" s="610"/>
      <c r="AB63" s="610"/>
    </row>
    <row r="64" spans="2:28" x14ac:dyDescent="0.15">
      <c r="B64" s="722" t="s">
        <v>104</v>
      </c>
      <c r="C64" s="791"/>
      <c r="D64" s="792"/>
      <c r="E64" s="792"/>
      <c r="F64" s="793"/>
      <c r="G64" s="792"/>
      <c r="H64" s="792"/>
      <c r="I64" s="792"/>
      <c r="J64" s="792"/>
      <c r="K64" s="791"/>
      <c r="L64" s="792"/>
      <c r="M64" s="792"/>
      <c r="N64" s="755"/>
      <c r="O64" s="755"/>
      <c r="P64" s="610"/>
      <c r="Q64" s="613"/>
      <c r="R64" s="737"/>
      <c r="S64" s="737"/>
      <c r="T64" s="737"/>
      <c r="U64" s="737"/>
      <c r="V64" s="737"/>
      <c r="W64" s="737"/>
      <c r="X64" s="737"/>
      <c r="Y64" s="739"/>
      <c r="Z64" s="610"/>
      <c r="AA64" s="610"/>
      <c r="AB64" s="610"/>
    </row>
    <row r="65" spans="2:29" x14ac:dyDescent="0.15">
      <c r="B65" s="757" t="s">
        <v>34</v>
      </c>
      <c r="C65" s="758">
        <v>0.40180790880969919</v>
      </c>
      <c r="D65" s="794">
        <v>0.40140575007186891</v>
      </c>
      <c r="E65" s="794">
        <v>0.40229284137830373</v>
      </c>
      <c r="F65" s="760">
        <v>0.40157777018200019</v>
      </c>
      <c r="G65" s="759">
        <v>0.40177559651781397</v>
      </c>
      <c r="H65" s="759">
        <v>0.40107555260264699</v>
      </c>
      <c r="I65" s="759">
        <v>0.39970472120702705</v>
      </c>
      <c r="J65" s="759">
        <v>0.39751456586439637</v>
      </c>
      <c r="K65" s="761">
        <v>0.39641625208416303</v>
      </c>
      <c r="L65" s="759">
        <v>0.39341703872096045</v>
      </c>
      <c r="M65" s="759">
        <v>0.39055456497232649</v>
      </c>
      <c r="N65" s="760">
        <f>+Operational!V23</f>
        <v>0.38522462318328887</v>
      </c>
      <c r="O65" s="760">
        <f>+Operational!W23</f>
        <v>0.38088983291657197</v>
      </c>
      <c r="P65" s="610"/>
      <c r="Q65" s="613"/>
      <c r="R65" s="737"/>
      <c r="S65" s="737"/>
      <c r="T65" s="737"/>
      <c r="U65" s="737"/>
      <c r="V65" s="737"/>
      <c r="W65" s="737"/>
      <c r="X65" s="737"/>
      <c r="Y65" s="739"/>
      <c r="Z65" s="610"/>
      <c r="AA65" s="610"/>
      <c r="AB65" s="610"/>
    </row>
    <row r="66" spans="2:29" x14ac:dyDescent="0.15">
      <c r="B66" s="731" t="s">
        <v>33</v>
      </c>
      <c r="C66" s="795">
        <v>0.59819209119030081</v>
      </c>
      <c r="D66" s="796">
        <v>0.59859424992813115</v>
      </c>
      <c r="E66" s="796">
        <v>0.59770715862169621</v>
      </c>
      <c r="F66" s="797">
        <v>0.59842222981799975</v>
      </c>
      <c r="G66" s="798">
        <v>0.59822440348218597</v>
      </c>
      <c r="H66" s="798">
        <v>0.59892444739735307</v>
      </c>
      <c r="I66" s="798">
        <v>0.60029527879297306</v>
      </c>
      <c r="J66" s="798">
        <v>0.60248543413560363</v>
      </c>
      <c r="K66" s="761">
        <v>0.60358374791583691</v>
      </c>
      <c r="L66" s="798">
        <v>0.60658296127903955</v>
      </c>
      <c r="M66" s="798">
        <v>0.60944543502767357</v>
      </c>
      <c r="N66" s="797">
        <f>+Operational!V24</f>
        <v>0.61477537681671102</v>
      </c>
      <c r="O66" s="797">
        <f>+Operational!W24</f>
        <v>0.61911016708342803</v>
      </c>
      <c r="P66" s="610"/>
      <c r="Q66" s="613"/>
      <c r="R66" s="737"/>
      <c r="S66" s="737"/>
      <c r="T66" s="737"/>
      <c r="U66" s="737"/>
      <c r="V66" s="737"/>
      <c r="W66" s="737"/>
      <c r="X66" s="737"/>
      <c r="Y66" s="739"/>
      <c r="Z66" s="610"/>
      <c r="AA66" s="610"/>
      <c r="AB66" s="610"/>
    </row>
    <row r="67" spans="2:29" x14ac:dyDescent="0.15">
      <c r="B67" s="768" t="s">
        <v>166</v>
      </c>
      <c r="C67" s="799"/>
      <c r="D67" s="800"/>
      <c r="E67" s="800"/>
      <c r="F67" s="755"/>
      <c r="G67" s="800"/>
      <c r="H67" s="800"/>
      <c r="I67" s="800"/>
      <c r="J67" s="800"/>
      <c r="K67" s="799"/>
      <c r="L67" s="800"/>
      <c r="M67" s="800"/>
      <c r="N67" s="755"/>
      <c r="O67" s="755"/>
      <c r="P67" s="610"/>
      <c r="Q67" s="613"/>
      <c r="R67" s="737"/>
      <c r="S67" s="737"/>
      <c r="T67" s="737"/>
      <c r="U67" s="737"/>
      <c r="V67" s="737"/>
      <c r="W67" s="737"/>
      <c r="X67" s="737"/>
      <c r="Y67" s="739"/>
      <c r="Z67" s="610"/>
      <c r="AA67" s="610"/>
      <c r="AB67" s="610"/>
    </row>
    <row r="68" spans="2:29" x14ac:dyDescent="0.15">
      <c r="B68" s="744" t="s">
        <v>135</v>
      </c>
      <c r="C68" s="801">
        <v>0.392276671594117</v>
      </c>
      <c r="D68" s="802">
        <v>0.37086083726281338</v>
      </c>
      <c r="E68" s="802">
        <v>0.35439771703387118</v>
      </c>
      <c r="F68" s="803">
        <v>0.34479900705535677</v>
      </c>
      <c r="G68" s="802">
        <v>0.33331992907734487</v>
      </c>
      <c r="H68" s="802">
        <v>0.32093365443335259</v>
      </c>
      <c r="I68" s="802">
        <v>0.3095072252832935</v>
      </c>
      <c r="J68" s="802">
        <v>0.3</v>
      </c>
      <c r="K68" s="804">
        <v>0.30361657588642427</v>
      </c>
      <c r="L68" s="802">
        <v>0.30297893859509473</v>
      </c>
      <c r="M68" s="802">
        <v>0.29995721395275521</v>
      </c>
      <c r="N68" s="805">
        <f>+Operational!V26</f>
        <v>0.28888310868721673</v>
      </c>
      <c r="O68" s="805">
        <f>+Operational!W26</f>
        <v>0.28689567641625019</v>
      </c>
      <c r="P68" s="610"/>
      <c r="Q68" s="613"/>
      <c r="R68" s="737"/>
      <c r="S68" s="737"/>
      <c r="T68" s="737"/>
      <c r="U68" s="737"/>
      <c r="V68" s="737"/>
      <c r="W68" s="737"/>
      <c r="X68" s="737"/>
      <c r="Y68" s="739"/>
      <c r="Z68" s="610"/>
      <c r="AA68" s="610"/>
      <c r="AB68" s="610"/>
    </row>
    <row r="69" spans="2:29" x14ac:dyDescent="0.15">
      <c r="B69" s="806" t="s">
        <v>151</v>
      </c>
      <c r="C69" s="807">
        <v>0.60772332840588306</v>
      </c>
      <c r="D69" s="808">
        <v>0.62913916273718662</v>
      </c>
      <c r="E69" s="808">
        <v>0.64560228296612876</v>
      </c>
      <c r="F69" s="809">
        <v>0.65520099294464329</v>
      </c>
      <c r="G69" s="808">
        <v>0.66668007092265513</v>
      </c>
      <c r="H69" s="808">
        <v>0.67906634556664747</v>
      </c>
      <c r="I69" s="808">
        <v>0.69049277471670645</v>
      </c>
      <c r="J69" s="808">
        <v>0.7</v>
      </c>
      <c r="K69" s="807">
        <v>0.69638342411357579</v>
      </c>
      <c r="L69" s="808">
        <v>0.69702106140490527</v>
      </c>
      <c r="M69" s="808">
        <v>0.70004278604724479</v>
      </c>
      <c r="N69" s="718">
        <f>+Operational!V27</f>
        <v>0.71111689131278322</v>
      </c>
      <c r="O69" s="718">
        <f>+Operational!W27</f>
        <v>0.71310432358374976</v>
      </c>
      <c r="P69" s="610"/>
      <c r="Q69" s="613"/>
      <c r="R69" s="737"/>
      <c r="S69" s="737"/>
      <c r="T69" s="737"/>
      <c r="U69" s="737"/>
      <c r="V69" s="737"/>
      <c r="W69" s="737"/>
      <c r="X69" s="737"/>
      <c r="Y69" s="739"/>
      <c r="Z69" s="610"/>
      <c r="AA69" s="610"/>
      <c r="AB69" s="610"/>
    </row>
    <row r="70" spans="2:29" x14ac:dyDescent="0.15">
      <c r="B70" s="768" t="s">
        <v>275</v>
      </c>
      <c r="C70" s="800"/>
      <c r="D70" s="800"/>
      <c r="E70" s="800"/>
      <c r="F70" s="800"/>
      <c r="G70" s="800"/>
      <c r="H70" s="800"/>
      <c r="I70" s="800"/>
      <c r="J70" s="800"/>
      <c r="K70" s="800"/>
      <c r="L70" s="800"/>
      <c r="M70" s="800"/>
      <c r="N70" s="755"/>
      <c r="O70" s="755"/>
      <c r="P70" s="610"/>
      <c r="Q70" s="613"/>
      <c r="R70" s="737"/>
      <c r="S70" s="737"/>
      <c r="T70" s="737"/>
      <c r="U70" s="737"/>
      <c r="V70" s="737"/>
      <c r="W70" s="737"/>
      <c r="X70" s="737"/>
      <c r="Y70" s="739"/>
      <c r="Z70" s="610"/>
      <c r="AA70" s="610"/>
      <c r="AB70" s="610"/>
    </row>
    <row r="71" spans="2:29" x14ac:dyDescent="0.15">
      <c r="B71" s="744" t="s">
        <v>276</v>
      </c>
      <c r="C71" s="758">
        <v>0.16513271598126489</v>
      </c>
      <c r="D71" s="759">
        <v>0.16082517610211236</v>
      </c>
      <c r="E71" s="759">
        <v>0.15729237064477286</v>
      </c>
      <c r="F71" s="760">
        <v>0.16417285457180356</v>
      </c>
      <c r="G71" s="759">
        <v>0.15759226977284541</v>
      </c>
      <c r="H71" s="759">
        <v>0.1658846607609559</v>
      </c>
      <c r="I71" s="759">
        <v>0.16346671968038035</v>
      </c>
      <c r="J71" s="759">
        <v>0.17501102347037734</v>
      </c>
      <c r="K71" s="758">
        <v>0.16177647048683633</v>
      </c>
      <c r="L71" s="759">
        <v>0.18185607155658023</v>
      </c>
      <c r="M71" s="759">
        <v>0.16388489666418524</v>
      </c>
      <c r="N71" s="760">
        <f>+Operational!V29</f>
        <v>0.19815772755009373</v>
      </c>
      <c r="O71" s="760">
        <f>+Operational!W29</f>
        <v>0.19360055194269421</v>
      </c>
      <c r="P71" s="610"/>
      <c r="Q71" s="613"/>
      <c r="R71" s="737"/>
      <c r="S71" s="737"/>
      <c r="T71" s="737"/>
      <c r="U71" s="737"/>
      <c r="V71" s="737"/>
      <c r="W71" s="737"/>
      <c r="X71" s="737"/>
      <c r="Y71" s="739"/>
      <c r="Z71" s="610"/>
      <c r="AA71" s="610"/>
      <c r="AB71" s="610"/>
    </row>
    <row r="72" spans="2:29" x14ac:dyDescent="0.15">
      <c r="B72" s="806" t="s">
        <v>277</v>
      </c>
      <c r="C72" s="810">
        <v>5.739390213577307E-2</v>
      </c>
      <c r="D72" s="811">
        <v>5.7408019787698036E-2</v>
      </c>
      <c r="E72" s="811">
        <v>6.4619316390972736E-2</v>
      </c>
      <c r="F72" s="812">
        <v>6.3324896094640454E-2</v>
      </c>
      <c r="G72" s="811">
        <v>5.0922312357210155E-2</v>
      </c>
      <c r="H72" s="811">
        <v>5.2828433395989575E-2</v>
      </c>
      <c r="I72" s="811">
        <v>5.7003416083352486E-2</v>
      </c>
      <c r="J72" s="811">
        <v>6.9105551842293819E-2</v>
      </c>
      <c r="K72" s="810">
        <v>4.9210153722475253E-2</v>
      </c>
      <c r="L72" s="811">
        <v>5.6649854536023586E-2</v>
      </c>
      <c r="M72" s="811">
        <v>5.0930021367102812E-2</v>
      </c>
      <c r="N72" s="812">
        <f>+Operational!V30</f>
        <v>6.6299999999999998E-2</v>
      </c>
      <c r="O72" s="812">
        <f>+Operational!W30</f>
        <v>5.1044465414249104E-2</v>
      </c>
      <c r="P72" s="610"/>
      <c r="Q72" s="613"/>
      <c r="R72" s="737"/>
      <c r="S72" s="737"/>
      <c r="T72" s="737"/>
      <c r="U72" s="737"/>
      <c r="V72" s="737"/>
      <c r="W72" s="737"/>
      <c r="X72" s="737"/>
      <c r="Y72" s="739"/>
      <c r="Z72" s="610"/>
      <c r="AA72" s="610"/>
      <c r="AB72" s="610"/>
    </row>
    <row r="73" spans="2:29" x14ac:dyDescent="0.15">
      <c r="B73" s="813"/>
      <c r="C73" s="814"/>
      <c r="D73" s="814"/>
      <c r="E73" s="814"/>
      <c r="F73" s="814"/>
      <c r="G73" s="814"/>
      <c r="H73" s="814"/>
      <c r="I73" s="814"/>
      <c r="J73" s="814"/>
      <c r="K73" s="814"/>
      <c r="L73" s="814"/>
      <c r="M73" s="814"/>
      <c r="N73" s="814"/>
      <c r="O73" s="814"/>
      <c r="P73" s="814"/>
      <c r="Q73" s="814"/>
      <c r="R73" s="814"/>
      <c r="S73" s="756"/>
      <c r="V73" s="737"/>
      <c r="W73" s="737"/>
      <c r="X73" s="737"/>
      <c r="Y73" s="737"/>
      <c r="Z73" s="737"/>
      <c r="AA73" s="737"/>
      <c r="AB73" s="737"/>
      <c r="AC73" s="739"/>
    </row>
    <row r="74" spans="2:29" x14ac:dyDescent="0.15">
      <c r="B74" s="815" t="s">
        <v>269</v>
      </c>
      <c r="C74" s="737"/>
      <c r="D74" s="737"/>
      <c r="E74" s="737"/>
      <c r="F74" s="737"/>
      <c r="G74" s="737"/>
      <c r="H74" s="737"/>
      <c r="I74" s="737"/>
      <c r="J74" s="737"/>
      <c r="K74" s="737"/>
      <c r="L74" s="737"/>
      <c r="M74" s="737"/>
      <c r="N74" s="737"/>
      <c r="O74" s="737"/>
      <c r="P74" s="737"/>
      <c r="Q74" s="737"/>
      <c r="R74" s="737"/>
      <c r="S74" s="738"/>
      <c r="V74" s="737"/>
      <c r="W74" s="737"/>
      <c r="X74" s="737"/>
      <c r="Y74" s="737"/>
      <c r="Z74" s="737"/>
      <c r="AA74" s="737"/>
      <c r="AB74" s="737"/>
      <c r="AC74" s="739"/>
    </row>
    <row r="75" spans="2:29" x14ac:dyDescent="0.15">
      <c r="B75" s="699" t="s">
        <v>160</v>
      </c>
      <c r="C75" s="702" t="s">
        <v>6</v>
      </c>
      <c r="D75" s="620" t="s">
        <v>7</v>
      </c>
      <c r="E75" s="620" t="s">
        <v>8</v>
      </c>
      <c r="F75" s="620" t="s">
        <v>9</v>
      </c>
      <c r="G75" s="620" t="s">
        <v>10</v>
      </c>
      <c r="H75" s="620" t="s">
        <v>98</v>
      </c>
      <c r="I75" s="620" t="s">
        <v>239</v>
      </c>
      <c r="J75" s="703" t="s">
        <v>282</v>
      </c>
      <c r="K75" s="703" t="s">
        <v>4</v>
      </c>
      <c r="L75" s="703" t="s">
        <v>254</v>
      </c>
      <c r="P75" s="737"/>
      <c r="Q75" s="737"/>
      <c r="R75" s="737"/>
      <c r="S75" s="738"/>
      <c r="V75" s="737"/>
      <c r="W75" s="737"/>
      <c r="X75" s="737"/>
      <c r="Y75" s="737"/>
      <c r="Z75" s="737"/>
      <c r="AA75" s="737"/>
      <c r="AB75" s="737"/>
      <c r="AC75" s="739"/>
    </row>
    <row r="76" spans="2:29" x14ac:dyDescent="0.15">
      <c r="B76" s="622" t="s">
        <v>11</v>
      </c>
      <c r="C76" s="623">
        <v>7109.7259539049128</v>
      </c>
      <c r="D76" s="624">
        <v>9030.9409965760115</v>
      </c>
      <c r="E76" s="624">
        <v>11053.350142282952</v>
      </c>
      <c r="F76" s="624">
        <v>13055.57975298107</v>
      </c>
      <c r="G76" s="624">
        <v>16101.456425206798</v>
      </c>
      <c r="H76" s="624">
        <v>20202.96</v>
      </c>
      <c r="I76" s="624">
        <v>23584.150916583851</v>
      </c>
      <c r="J76" s="624">
        <f>+'P&amp;L'!AH5</f>
        <v>26848.348208126306</v>
      </c>
      <c r="K76" s="630">
        <f>+'P&amp;L'!AI5</f>
        <v>0.13840639432336532</v>
      </c>
      <c r="L76" s="630">
        <f>+'P&amp;L'!AJ5</f>
        <v>0.19422106870345779</v>
      </c>
      <c r="P76" s="737"/>
      <c r="Q76" s="737"/>
      <c r="R76" s="737"/>
      <c r="S76" s="738"/>
      <c r="V76" s="737"/>
      <c r="W76" s="737"/>
      <c r="X76" s="737"/>
      <c r="Y76" s="737"/>
      <c r="Z76" s="737"/>
      <c r="AA76" s="737"/>
      <c r="AB76" s="737"/>
      <c r="AC76" s="739"/>
    </row>
    <row r="77" spans="2:29" x14ac:dyDescent="0.15">
      <c r="B77" s="632" t="s">
        <v>102</v>
      </c>
      <c r="C77" s="638">
        <v>5935.4817988000095</v>
      </c>
      <c r="D77" s="639">
        <v>7864.2508810970739</v>
      </c>
      <c r="E77" s="639">
        <v>10440.003070818655</v>
      </c>
      <c r="F77" s="639">
        <v>12090.970571938073</v>
      </c>
      <c r="G77" s="639">
        <v>14991.777310633095</v>
      </c>
      <c r="H77" s="639">
        <v>18715.439999999999</v>
      </c>
      <c r="I77" s="639">
        <v>21787.258086059079</v>
      </c>
      <c r="J77" s="639">
        <f>+'P&amp;L'!AH6</f>
        <v>23409.358789281101</v>
      </c>
      <c r="K77" s="640">
        <f>+'P&amp;L'!AI6</f>
        <v>0.14693639409957471</v>
      </c>
      <c r="L77" s="640">
        <f>+'P&amp;L'!AJ6</f>
        <v>0.19341793970553733</v>
      </c>
      <c r="P77" s="737"/>
      <c r="Q77" s="737"/>
      <c r="R77" s="737"/>
      <c r="S77" s="738"/>
      <c r="V77" s="737"/>
      <c r="W77" s="737"/>
      <c r="X77" s="737"/>
      <c r="Y77" s="737"/>
      <c r="Z77" s="737"/>
      <c r="AA77" s="737"/>
      <c r="AB77" s="737"/>
      <c r="AC77" s="739"/>
    </row>
    <row r="78" spans="2:29" x14ac:dyDescent="0.15">
      <c r="B78" s="632" t="s">
        <v>109</v>
      </c>
      <c r="C78" s="644">
        <v>2602.8908543716343</v>
      </c>
      <c r="D78" s="645">
        <v>3609.7244804069151</v>
      </c>
      <c r="E78" s="645">
        <v>4644.2736902055058</v>
      </c>
      <c r="F78" s="645">
        <v>4832.1566413708078</v>
      </c>
      <c r="G78" s="645">
        <v>5981.6604918052908</v>
      </c>
      <c r="H78" s="645">
        <v>8358.7999999999993</v>
      </c>
      <c r="I78" s="645">
        <v>10157.92838149714</v>
      </c>
      <c r="J78" s="645">
        <f>+'P&amp;L'!AH7</f>
        <v>11051.304492659607</v>
      </c>
      <c r="K78" s="640">
        <f>+'P&amp;L'!AI7</f>
        <v>8.7948652285220641E-2</v>
      </c>
      <c r="L78" s="640">
        <f>+'P&amp;L'!AJ7</f>
        <v>0.18932116607080629</v>
      </c>
      <c r="P78" s="737"/>
      <c r="Q78" s="737"/>
      <c r="R78" s="737"/>
      <c r="S78" s="738"/>
      <c r="V78" s="737"/>
      <c r="W78" s="737"/>
      <c r="X78" s="737"/>
      <c r="Y78" s="737"/>
      <c r="Z78" s="737"/>
      <c r="AA78" s="737"/>
      <c r="AB78" s="737"/>
      <c r="AC78" s="739"/>
    </row>
    <row r="79" spans="2:29" x14ac:dyDescent="0.15">
      <c r="B79" s="646" t="s">
        <v>89</v>
      </c>
      <c r="C79" s="653">
        <v>3332.5909444283752</v>
      </c>
      <c r="D79" s="654">
        <v>4254.5264006901589</v>
      </c>
      <c r="E79" s="654">
        <v>5795.7293806131493</v>
      </c>
      <c r="F79" s="654">
        <v>7258.8139305672648</v>
      </c>
      <c r="G79" s="654">
        <v>9010.1168188278043</v>
      </c>
      <c r="H79" s="654">
        <v>10356.64</v>
      </c>
      <c r="I79" s="654">
        <v>11629.329704561938</v>
      </c>
      <c r="J79" s="654">
        <f>+'P&amp;L'!AH8</f>
        <v>12358.054296621494</v>
      </c>
      <c r="K79" s="655">
        <f>+'P&amp;L'!AI8</f>
        <v>0.20538053685447588</v>
      </c>
      <c r="L79" s="655">
        <f>+'P&amp;L'!AJ8</f>
        <v>0.1971543912120397</v>
      </c>
      <c r="P79" s="737"/>
      <c r="Q79" s="737"/>
      <c r="R79" s="737"/>
      <c r="S79" s="738"/>
      <c r="V79" s="737"/>
      <c r="W79" s="737"/>
      <c r="X79" s="737"/>
      <c r="Y79" s="737"/>
      <c r="Z79" s="737"/>
      <c r="AA79" s="737"/>
      <c r="AB79" s="737"/>
      <c r="AC79" s="739"/>
    </row>
    <row r="80" spans="2:29" x14ac:dyDescent="0.15">
      <c r="B80" s="656" t="s">
        <v>101</v>
      </c>
      <c r="C80" s="638">
        <v>1174.2441551049039</v>
      </c>
      <c r="D80" s="639">
        <v>1166.6901154789384</v>
      </c>
      <c r="E80" s="639">
        <v>613.34707146429969</v>
      </c>
      <c r="F80" s="639">
        <v>964.60918104299958</v>
      </c>
      <c r="G80" s="639">
        <v>1109.6791145737002</v>
      </c>
      <c r="H80" s="639">
        <v>1486.9210380720019</v>
      </c>
      <c r="I80" s="639">
        <v>1796.8928305247684</v>
      </c>
      <c r="J80" s="639">
        <f>+'P&amp;L'!AH9</f>
        <v>3438.9894188452058</v>
      </c>
      <c r="K80" s="640">
        <f>+'P&amp;L'!AI9</f>
        <v>8.3551194714929888E-2</v>
      </c>
      <c r="L80" s="640">
        <f>+'P&amp;L'!AJ9</f>
        <v>0.19977572713131764</v>
      </c>
      <c r="P80" s="737"/>
      <c r="Q80" s="737"/>
      <c r="R80" s="737"/>
      <c r="S80" s="738"/>
      <c r="V80" s="737"/>
      <c r="W80" s="737"/>
      <c r="X80" s="737"/>
      <c r="Y80" s="737"/>
      <c r="Z80" s="737"/>
      <c r="AA80" s="737"/>
      <c r="AB80" s="737"/>
      <c r="AC80" s="739"/>
    </row>
    <row r="81" spans="2:29" x14ac:dyDescent="0.15">
      <c r="B81" s="662" t="s">
        <v>176</v>
      </c>
      <c r="C81" s="666">
        <v>782.80130597924301</v>
      </c>
      <c r="D81" s="667">
        <v>765.88752599999998</v>
      </c>
      <c r="E81" s="667">
        <v>187.48959499999984</v>
      </c>
      <c r="F81" s="667">
        <v>437.1006799999999</v>
      </c>
      <c r="G81" s="667">
        <v>408.30851300000006</v>
      </c>
      <c r="H81" s="667">
        <v>426.05134400000202</v>
      </c>
      <c r="I81" s="667">
        <v>463.86464483246982</v>
      </c>
      <c r="J81" s="667">
        <f>+'P&amp;L'!AH10</f>
        <v>860.59372893050727</v>
      </c>
      <c r="K81" s="640"/>
      <c r="L81" s="640"/>
      <c r="P81" s="737"/>
      <c r="Q81" s="737"/>
      <c r="R81" s="737"/>
      <c r="S81" s="738"/>
      <c r="V81" s="737"/>
      <c r="W81" s="737"/>
      <c r="X81" s="737"/>
      <c r="Y81" s="737"/>
      <c r="Z81" s="737"/>
      <c r="AA81" s="737"/>
      <c r="AB81" s="737"/>
      <c r="AC81" s="739"/>
    </row>
    <row r="82" spans="2:29" x14ac:dyDescent="0.15">
      <c r="B82" s="662" t="s">
        <v>90</v>
      </c>
      <c r="C82" s="666">
        <v>270.30036245970001</v>
      </c>
      <c r="D82" s="667">
        <v>340.7592424272998</v>
      </c>
      <c r="E82" s="667">
        <v>387.14194227429977</v>
      </c>
      <c r="F82" s="667">
        <v>474.30999872299981</v>
      </c>
      <c r="G82" s="667">
        <v>605.20331128370003</v>
      </c>
      <c r="H82" s="667">
        <v>895.15058192200001</v>
      </c>
      <c r="I82" s="667">
        <v>1114.4729123689985</v>
      </c>
      <c r="J82" s="667" t="e">
        <f>+'P&amp;L'!#REF!</f>
        <v>#REF!</v>
      </c>
      <c r="K82" s="640"/>
      <c r="L82" s="640"/>
      <c r="P82" s="737"/>
      <c r="Q82" s="737"/>
      <c r="R82" s="737"/>
      <c r="S82" s="738"/>
      <c r="V82" s="737"/>
      <c r="W82" s="737"/>
      <c r="X82" s="737"/>
      <c r="Y82" s="737"/>
      <c r="Z82" s="737"/>
      <c r="AA82" s="737"/>
      <c r="AB82" s="737"/>
      <c r="AC82" s="739"/>
    </row>
    <row r="83" spans="2:29" x14ac:dyDescent="0.15">
      <c r="B83" s="662" t="s">
        <v>177</v>
      </c>
      <c r="C83" s="666">
        <v>121.142486665961</v>
      </c>
      <c r="D83" s="667">
        <v>60.043347051638555</v>
      </c>
      <c r="E83" s="667">
        <v>38.71553419</v>
      </c>
      <c r="F83" s="667">
        <v>53.198502320000003</v>
      </c>
      <c r="G83" s="667">
        <v>96.167290289999983</v>
      </c>
      <c r="H83" s="667">
        <v>165.71911215</v>
      </c>
      <c r="I83" s="667">
        <v>218.55527332330013</v>
      </c>
      <c r="J83" s="667" t="e">
        <f>+'P&amp;L'!#REF!</f>
        <v>#REF!</v>
      </c>
      <c r="K83" s="640"/>
      <c r="L83" s="640"/>
      <c r="P83" s="737"/>
      <c r="Q83" s="737"/>
      <c r="R83" s="737"/>
      <c r="S83" s="738"/>
      <c r="V83" s="737"/>
      <c r="W83" s="737"/>
      <c r="X83" s="737"/>
      <c r="Y83" s="737"/>
      <c r="Z83" s="737"/>
      <c r="AA83" s="737"/>
      <c r="AB83" s="737"/>
      <c r="AC83" s="739"/>
    </row>
    <row r="84" spans="2:29" x14ac:dyDescent="0.15">
      <c r="B84" s="668" t="s">
        <v>91</v>
      </c>
      <c r="C84" s="653">
        <v>4506.8350995332794</v>
      </c>
      <c r="D84" s="654">
        <v>5421.2165161690973</v>
      </c>
      <c r="E84" s="654">
        <v>6409.0764520774492</v>
      </c>
      <c r="F84" s="654">
        <v>8223.4231116102637</v>
      </c>
      <c r="G84" s="654">
        <v>10119.795933401505</v>
      </c>
      <c r="H84" s="654">
        <v>11843.561038072001</v>
      </c>
      <c r="I84" s="654">
        <v>13426.222535086707</v>
      </c>
      <c r="J84" s="654">
        <f>+'P&amp;L'!AH15</f>
        <v>15797.0437154667</v>
      </c>
      <c r="K84" s="655">
        <f>+'P&amp;L'!AI15</f>
        <v>0.17658140062734207</v>
      </c>
      <c r="L84" s="655">
        <f>+'P&amp;L'!AJ15</f>
        <v>0.19772212884747931</v>
      </c>
      <c r="P84" s="737"/>
      <c r="Q84" s="737"/>
      <c r="R84" s="737"/>
      <c r="S84" s="738"/>
      <c r="V84" s="737"/>
      <c r="W84" s="737"/>
      <c r="X84" s="737"/>
      <c r="Y84" s="737"/>
      <c r="Z84" s="737"/>
      <c r="AA84" s="737"/>
      <c r="AB84" s="737"/>
      <c r="AC84" s="739"/>
    </row>
    <row r="85" spans="2:29" x14ac:dyDescent="0.15">
      <c r="B85" s="632" t="s">
        <v>92</v>
      </c>
      <c r="C85" s="669">
        <v>1172.3544552349799</v>
      </c>
      <c r="D85" s="670">
        <v>1470.7447910272813</v>
      </c>
      <c r="E85" s="670">
        <v>1721.3605523474687</v>
      </c>
      <c r="F85" s="670">
        <v>2322.3533486494248</v>
      </c>
      <c r="G85" s="670">
        <v>3005.9033304954892</v>
      </c>
      <c r="H85" s="670">
        <v>3559.1030806305002</v>
      </c>
      <c r="I85" s="670">
        <v>3777.5735110293244</v>
      </c>
      <c r="J85" s="670">
        <f>+'P&amp;L'!AH16</f>
        <v>4703.6476220361074</v>
      </c>
      <c r="K85" s="671">
        <f>+'P&amp;L'!AI16</f>
        <v>0.24515052011640237</v>
      </c>
      <c r="L85" s="671">
        <f>+'P&amp;L'!AJ16</f>
        <v>0.22267937560368445</v>
      </c>
      <c r="P85" s="737"/>
      <c r="Q85" s="737"/>
      <c r="R85" s="737"/>
      <c r="S85" s="738"/>
      <c r="V85" s="737"/>
      <c r="W85" s="737"/>
      <c r="X85" s="737"/>
      <c r="Y85" s="737"/>
      <c r="Z85" s="737"/>
      <c r="AA85" s="737"/>
      <c r="AB85" s="737"/>
      <c r="AC85" s="739"/>
    </row>
    <row r="86" spans="2:29" x14ac:dyDescent="0.15">
      <c r="B86" s="632" t="s">
        <v>93</v>
      </c>
      <c r="C86" s="644">
        <v>668.58044944670246</v>
      </c>
      <c r="D86" s="645">
        <v>776.63094568014219</v>
      </c>
      <c r="E86" s="645">
        <v>783.03706791850902</v>
      </c>
      <c r="F86" s="645">
        <v>1126.4460759312924</v>
      </c>
      <c r="G86" s="645">
        <v>1499.7097247820159</v>
      </c>
      <c r="H86" s="645">
        <v>1795.4</v>
      </c>
      <c r="I86" s="645">
        <v>2051.5146203957579</v>
      </c>
      <c r="J86" s="645">
        <f>+'P&amp;L'!AH17</f>
        <v>2351.7428053701369</v>
      </c>
      <c r="K86" s="640"/>
      <c r="L86" s="640"/>
      <c r="P86" s="737"/>
      <c r="Q86" s="737"/>
      <c r="R86" s="737"/>
      <c r="S86" s="738"/>
      <c r="V86" s="737"/>
      <c r="W86" s="737"/>
      <c r="X86" s="737"/>
      <c r="Y86" s="737"/>
      <c r="Z86" s="737"/>
      <c r="AA86" s="737"/>
      <c r="AB86" s="737"/>
      <c r="AC86" s="739"/>
    </row>
    <row r="87" spans="2:29" x14ac:dyDescent="0.15">
      <c r="B87" s="622" t="s">
        <v>94</v>
      </c>
      <c r="C87" s="626">
        <v>1840.9349046816824</v>
      </c>
      <c r="D87" s="677">
        <v>2247.3757367074236</v>
      </c>
      <c r="E87" s="677">
        <v>2504.3976202659778</v>
      </c>
      <c r="F87" s="677">
        <v>3448.7994245807172</v>
      </c>
      <c r="G87" s="677">
        <v>4505.6130552775048</v>
      </c>
      <c r="H87" s="677">
        <v>5354.5030806305003</v>
      </c>
      <c r="I87" s="677">
        <v>5829.0881314250819</v>
      </c>
      <c r="J87" s="677">
        <f>+'P&amp;L'!AH18</f>
        <v>7055.3904274062443</v>
      </c>
      <c r="K87" s="678">
        <f>+'P&amp;L'!AI18</f>
        <v>0.21037635189800419</v>
      </c>
      <c r="L87" s="678">
        <f>+'P&amp;L'!AJ18</f>
        <v>0.23016553044398202</v>
      </c>
      <c r="P87" s="737"/>
      <c r="Q87" s="737"/>
      <c r="R87" s="737"/>
      <c r="S87" s="738"/>
      <c r="V87" s="737"/>
      <c r="W87" s="737"/>
      <c r="X87" s="737"/>
      <c r="Y87" s="737"/>
      <c r="Z87" s="737"/>
      <c r="AA87" s="737"/>
      <c r="AB87" s="737"/>
      <c r="AC87" s="739"/>
    </row>
    <row r="88" spans="2:29" x14ac:dyDescent="0.15">
      <c r="B88" s="679" t="s">
        <v>95</v>
      </c>
      <c r="C88" s="683">
        <v>2665.900194851597</v>
      </c>
      <c r="D88" s="684">
        <v>3173.8407794616737</v>
      </c>
      <c r="E88" s="684">
        <v>3904.6788318114714</v>
      </c>
      <c r="F88" s="684">
        <v>4774.623687029547</v>
      </c>
      <c r="G88" s="684">
        <v>5614.1828781240001</v>
      </c>
      <c r="H88" s="684">
        <v>6489.0579574415005</v>
      </c>
      <c r="I88" s="684">
        <v>7597.1344036616247</v>
      </c>
      <c r="J88" s="684">
        <f>+'P&amp;L'!AH19</f>
        <v>8741.6532880604555</v>
      </c>
      <c r="K88" s="685">
        <f>+'P&amp;L'!AI19</f>
        <v>0.15065139348425927</v>
      </c>
      <c r="L88" s="685">
        <f>+'P&amp;L'!AJ19</f>
        <v>0.17490202380940012</v>
      </c>
      <c r="P88" s="737"/>
      <c r="Q88" s="737"/>
      <c r="R88" s="737"/>
      <c r="S88" s="738"/>
      <c r="V88" s="737"/>
      <c r="W88" s="737"/>
      <c r="X88" s="737"/>
      <c r="Y88" s="737"/>
      <c r="Z88" s="737"/>
      <c r="AA88" s="737"/>
      <c r="AB88" s="737"/>
      <c r="AC88" s="739"/>
    </row>
    <row r="89" spans="2:29" x14ac:dyDescent="0.15">
      <c r="B89" s="656" t="s">
        <v>12</v>
      </c>
      <c r="C89" s="687">
        <v>88.9767929961356</v>
      </c>
      <c r="D89" s="688">
        <v>153.37760951844223</v>
      </c>
      <c r="E89" s="688">
        <v>371.38558625620163</v>
      </c>
      <c r="F89" s="688">
        <v>226.05198588657998</v>
      </c>
      <c r="G89" s="688">
        <v>124.22393844133417</v>
      </c>
      <c r="H89" s="688">
        <v>244.7</v>
      </c>
      <c r="I89" s="688">
        <v>271.24310133988445</v>
      </c>
      <c r="J89" s="688">
        <f>+'P&amp;L'!AH20</f>
        <v>337.24385022795781</v>
      </c>
      <c r="K89" s="640">
        <f>+'P&amp;L'!AI20</f>
        <v>0.24332692172462056</v>
      </c>
      <c r="L89" s="640">
        <f>+'P&amp;L'!AJ20</f>
        <v>-1.9102113252642439E-2</v>
      </c>
      <c r="P89" s="737"/>
      <c r="Q89" s="737"/>
      <c r="R89" s="737"/>
      <c r="S89" s="738"/>
      <c r="V89" s="737"/>
      <c r="W89" s="737"/>
      <c r="X89" s="737"/>
      <c r="Y89" s="737"/>
      <c r="Z89" s="737"/>
      <c r="AA89" s="737"/>
      <c r="AB89" s="737"/>
      <c r="AC89" s="739"/>
    </row>
    <row r="90" spans="2:29" x14ac:dyDescent="0.15">
      <c r="B90" s="668" t="s">
        <v>13</v>
      </c>
      <c r="C90" s="653">
        <v>2576.9234018554616</v>
      </c>
      <c r="D90" s="654">
        <v>3020.4631699432316</v>
      </c>
      <c r="E90" s="654">
        <v>3533.2932455552696</v>
      </c>
      <c r="F90" s="654">
        <v>4548.571701142967</v>
      </c>
      <c r="G90" s="654">
        <v>5489.9589396826659</v>
      </c>
      <c r="H90" s="654">
        <v>6244.3579574415007</v>
      </c>
      <c r="I90" s="654">
        <v>7325.8913023217401</v>
      </c>
      <c r="J90" s="654">
        <f>+'P&amp;L'!AH21</f>
        <v>8404.4094378324971</v>
      </c>
      <c r="K90" s="655">
        <f>+'P&amp;L'!AI21</f>
        <v>0.14722005705557639</v>
      </c>
      <c r="L90" s="655">
        <f>+'P&amp;L'!AJ21</f>
        <v>0.1892290343628551</v>
      </c>
      <c r="P90" s="737"/>
      <c r="Q90" s="737"/>
      <c r="R90" s="737"/>
      <c r="S90" s="738"/>
      <c r="V90" s="737"/>
      <c r="W90" s="737"/>
      <c r="X90" s="737"/>
      <c r="Y90" s="737"/>
      <c r="Z90" s="737"/>
      <c r="AA90" s="737"/>
      <c r="AB90" s="737"/>
      <c r="AC90" s="739"/>
    </row>
    <row r="91" spans="2:29" x14ac:dyDescent="0.15">
      <c r="B91" s="632" t="s">
        <v>14</v>
      </c>
      <c r="C91" s="644">
        <v>817.7981115501259</v>
      </c>
      <c r="D91" s="645">
        <v>529.26502451895078</v>
      </c>
      <c r="E91" s="645">
        <v>638.3414344141645</v>
      </c>
      <c r="F91" s="645">
        <v>980.58107756893378</v>
      </c>
      <c r="G91" s="645">
        <v>1189.2391618824524</v>
      </c>
      <c r="H91" s="645">
        <v>1337.5561667873317</v>
      </c>
      <c r="I91" s="645">
        <v>1584.8091229399358</v>
      </c>
      <c r="J91" s="645">
        <f>+'P&amp;L'!AH22</f>
        <v>1855.5953857608306</v>
      </c>
      <c r="K91" s="640"/>
      <c r="L91" s="640"/>
      <c r="P91" s="737"/>
      <c r="Q91" s="737"/>
      <c r="R91" s="737"/>
      <c r="S91" s="738"/>
      <c r="V91" s="737"/>
      <c r="W91" s="737"/>
      <c r="X91" s="737"/>
      <c r="Y91" s="737"/>
      <c r="Z91" s="737"/>
      <c r="AA91" s="737"/>
      <c r="AB91" s="737"/>
      <c r="AC91" s="739"/>
    </row>
    <row r="92" spans="2:29" x14ac:dyDescent="0.15">
      <c r="B92" s="668" t="s">
        <v>15</v>
      </c>
      <c r="C92" s="653">
        <v>1759.1252903053357</v>
      </c>
      <c r="D92" s="654">
        <v>2491.1981454242809</v>
      </c>
      <c r="E92" s="654">
        <v>2894.9518111411053</v>
      </c>
      <c r="F92" s="654">
        <v>3567.9906235740332</v>
      </c>
      <c r="G92" s="654">
        <v>4300.7197778002137</v>
      </c>
      <c r="H92" s="654">
        <v>4906.8017906541691</v>
      </c>
      <c r="I92" s="654">
        <v>5741.0821793818041</v>
      </c>
      <c r="J92" s="654">
        <f>+'P&amp;L'!AH23</f>
        <v>6548.8140520716661</v>
      </c>
      <c r="K92" s="655">
        <f>+'P&amp;L'!AI23</f>
        <v>0.14069331311624556</v>
      </c>
      <c r="L92" s="655">
        <f>+'P&amp;L'!AJ23</f>
        <v>0.17734641046970623</v>
      </c>
      <c r="P92" s="737"/>
      <c r="Q92" s="737"/>
      <c r="R92" s="737"/>
      <c r="S92" s="738"/>
      <c r="V92" s="737"/>
      <c r="W92" s="737"/>
      <c r="X92" s="737"/>
      <c r="Y92" s="737"/>
      <c r="Z92" s="737"/>
      <c r="AA92" s="737"/>
      <c r="AB92" s="737"/>
      <c r="AC92" s="739"/>
    </row>
    <row r="93" spans="2:29" x14ac:dyDescent="0.15">
      <c r="B93" s="632" t="s">
        <v>110</v>
      </c>
      <c r="C93" s="644">
        <v>2.2815720979200003</v>
      </c>
      <c r="D93" s="645">
        <v>-0.52164115056000004</v>
      </c>
      <c r="E93" s="645">
        <v>8.3401910303999998</v>
      </c>
      <c r="F93" s="645">
        <v>7.0889947521600005</v>
      </c>
      <c r="G93" s="645">
        <v>-17.933554416590407</v>
      </c>
      <c r="H93" s="645">
        <v>1.51633802736</v>
      </c>
      <c r="I93" s="645">
        <v>2.3656991870399997</v>
      </c>
      <c r="J93" s="645">
        <f>+'P&amp;L'!AH24</f>
        <v>7.0754911191999996</v>
      </c>
      <c r="K93" s="678"/>
      <c r="L93" s="678"/>
      <c r="P93" s="737"/>
      <c r="Q93" s="737"/>
      <c r="R93" s="737"/>
      <c r="S93" s="738"/>
      <c r="V93" s="737"/>
      <c r="W93" s="737"/>
      <c r="X93" s="737"/>
      <c r="Y93" s="737"/>
      <c r="Z93" s="737"/>
      <c r="AA93" s="737"/>
      <c r="AB93" s="737"/>
      <c r="AC93" s="739"/>
    </row>
    <row r="94" spans="2:29" x14ac:dyDescent="0.15">
      <c r="B94" s="668" t="s">
        <v>111</v>
      </c>
      <c r="C94" s="653">
        <v>1761.4068624032557</v>
      </c>
      <c r="D94" s="654">
        <v>2490.6765042737211</v>
      </c>
      <c r="E94" s="654">
        <v>2903.2920021715054</v>
      </c>
      <c r="F94" s="654">
        <v>3575.0796183261932</v>
      </c>
      <c r="G94" s="654">
        <v>4282.7862233836231</v>
      </c>
      <c r="H94" s="654">
        <v>4908.3181286815288</v>
      </c>
      <c r="I94" s="654">
        <v>5743.4478785688443</v>
      </c>
      <c r="J94" s="654">
        <f>+'P&amp;L'!AH25</f>
        <v>6555.8895431908659</v>
      </c>
      <c r="K94" s="655">
        <f>+'P&amp;L'!AI25</f>
        <v>0.14145539087306314</v>
      </c>
      <c r="L94" s="655">
        <f>+'P&amp;L'!AJ25</f>
        <v>0.1769233573887572</v>
      </c>
      <c r="P94" s="737"/>
      <c r="Q94" s="737"/>
      <c r="R94" s="737"/>
      <c r="S94" s="738"/>
      <c r="V94" s="737"/>
      <c r="W94" s="737"/>
      <c r="X94" s="737"/>
      <c r="Y94" s="737"/>
      <c r="Z94" s="737"/>
      <c r="AA94" s="737"/>
      <c r="AB94" s="737"/>
      <c r="AC94" s="739"/>
    </row>
    <row r="95" spans="2:29" x14ac:dyDescent="0.15">
      <c r="B95" s="632" t="s">
        <v>141</v>
      </c>
      <c r="C95" s="633">
        <v>23.648418312359933</v>
      </c>
      <c r="D95" s="634">
        <v>31.862524816148262</v>
      </c>
      <c r="E95" s="634">
        <v>36.938485997425595</v>
      </c>
      <c r="F95" s="634">
        <v>45.306780871398558</v>
      </c>
      <c r="G95" s="634">
        <v>54.435388259798117</v>
      </c>
      <c r="H95" s="634">
        <v>62.025332221506844</v>
      </c>
      <c r="I95" s="634">
        <v>72.540868805254703</v>
      </c>
      <c r="J95" s="634">
        <f>+'P&amp;L'!AH26</f>
        <v>82.717938289494867</v>
      </c>
      <c r="K95" s="691">
        <f>+'P&amp;L'!AI26</f>
        <v>0.14029428723223347</v>
      </c>
      <c r="L95" s="691">
        <f>+'P&amp;L'!AJ26</f>
        <v>0.1749628141937587</v>
      </c>
      <c r="P95" s="737"/>
      <c r="Q95" s="737"/>
      <c r="R95" s="737"/>
      <c r="S95" s="738"/>
      <c r="V95" s="737"/>
      <c r="W95" s="737"/>
      <c r="X95" s="737"/>
      <c r="Y95" s="737"/>
      <c r="Z95" s="737"/>
      <c r="AA95" s="737"/>
      <c r="AB95" s="737"/>
      <c r="AC95" s="739"/>
    </row>
    <row r="96" spans="2:29" x14ac:dyDescent="0.15">
      <c r="B96" s="692" t="s">
        <v>142</v>
      </c>
      <c r="C96" s="693">
        <v>23.082470980281649</v>
      </c>
      <c r="D96" s="694">
        <v>31.487337675033793</v>
      </c>
      <c r="E96" s="694">
        <v>36.615532160231204</v>
      </c>
      <c r="F96" s="694">
        <v>45.01794178719819</v>
      </c>
      <c r="G96" s="694">
        <v>54.295282010693086</v>
      </c>
      <c r="H96" s="694">
        <v>61.958586093714764</v>
      </c>
      <c r="I96" s="694">
        <v>71.968245040821472</v>
      </c>
      <c r="J96" s="694">
        <f>+'P&amp;L'!AH27</f>
        <v>82.137274492801851</v>
      </c>
      <c r="K96" s="697">
        <f>+'P&amp;L'!AI27</f>
        <v>0.14129883876162808</v>
      </c>
      <c r="L96" s="697">
        <f>+'P&amp;L'!AJ27</f>
        <v>0.1753710442380676</v>
      </c>
      <c r="P96" s="737"/>
      <c r="Q96" s="737"/>
      <c r="R96" s="737"/>
      <c r="S96" s="738"/>
      <c r="V96" s="737"/>
      <c r="W96" s="737"/>
      <c r="X96" s="737"/>
      <c r="Y96" s="737"/>
      <c r="Z96" s="737"/>
      <c r="AA96" s="737"/>
      <c r="AB96" s="737"/>
      <c r="AC96" s="739"/>
    </row>
    <row r="97" spans="2:29" x14ac:dyDescent="0.15">
      <c r="D97" s="737"/>
      <c r="E97" s="737"/>
      <c r="F97" s="737"/>
      <c r="G97" s="737"/>
      <c r="H97" s="737"/>
      <c r="I97" s="737"/>
      <c r="J97" s="737"/>
      <c r="K97" s="737"/>
      <c r="P97" s="737"/>
      <c r="Q97" s="737"/>
      <c r="R97" s="737"/>
      <c r="S97" s="738"/>
      <c r="V97" s="737"/>
      <c r="W97" s="737"/>
      <c r="X97" s="737"/>
      <c r="Y97" s="737"/>
      <c r="Z97" s="737"/>
      <c r="AA97" s="737"/>
      <c r="AB97" s="737"/>
      <c r="AC97" s="739"/>
    </row>
    <row r="98" spans="2:29" x14ac:dyDescent="0.15">
      <c r="B98" s="699" t="s">
        <v>161</v>
      </c>
      <c r="C98" s="702" t="s">
        <v>6</v>
      </c>
      <c r="D98" s="620" t="s">
        <v>7</v>
      </c>
      <c r="E98" s="620" t="s">
        <v>8</v>
      </c>
      <c r="F98" s="620" t="s">
        <v>9</v>
      </c>
      <c r="G98" s="620" t="s">
        <v>10</v>
      </c>
      <c r="H98" s="620" t="s">
        <v>98</v>
      </c>
      <c r="I98" s="620" t="s">
        <v>239</v>
      </c>
      <c r="J98" s="703" t="str">
        <f>+BS!AF4</f>
        <v>FY26</v>
      </c>
      <c r="K98" s="703" t="s">
        <v>254</v>
      </c>
      <c r="P98" s="737"/>
      <c r="Q98" s="737"/>
      <c r="R98" s="737"/>
      <c r="S98" s="738"/>
      <c r="V98" s="737"/>
      <c r="W98" s="737"/>
      <c r="X98" s="737"/>
      <c r="Y98" s="737"/>
      <c r="Z98" s="737"/>
      <c r="AA98" s="737"/>
      <c r="AB98" s="737"/>
      <c r="AC98" s="739"/>
    </row>
    <row r="99" spans="2:29" x14ac:dyDescent="0.15">
      <c r="B99" s="704" t="s">
        <v>19</v>
      </c>
      <c r="C99" s="705"/>
      <c r="D99" s="706"/>
      <c r="E99" s="706"/>
      <c r="F99" s="706"/>
      <c r="G99" s="706"/>
      <c r="H99" s="706"/>
      <c r="I99" s="706"/>
      <c r="J99" s="707"/>
      <c r="K99" s="708"/>
      <c r="P99" s="737"/>
      <c r="Q99" s="737"/>
      <c r="R99" s="737"/>
      <c r="S99" s="738"/>
      <c r="V99" s="737"/>
      <c r="W99" s="737"/>
      <c r="X99" s="737"/>
      <c r="Y99" s="737"/>
      <c r="Z99" s="737"/>
      <c r="AA99" s="737"/>
      <c r="AB99" s="737"/>
      <c r="AC99" s="739"/>
    </row>
    <row r="100" spans="2:29" x14ac:dyDescent="0.15">
      <c r="B100" s="709" t="s">
        <v>20</v>
      </c>
      <c r="C100" s="710">
        <v>781.07901002999995</v>
      </c>
      <c r="D100" s="711">
        <v>783.22661033999998</v>
      </c>
      <c r="E100" s="711">
        <v>785.04551072000004</v>
      </c>
      <c r="F100" s="711">
        <v>789.36451078000005</v>
      </c>
      <c r="G100" s="711">
        <v>790.56874078999999</v>
      </c>
      <c r="H100" s="711">
        <v>791.39705078999998</v>
      </c>
      <c r="I100" s="711">
        <v>791.53665078999995</v>
      </c>
      <c r="J100" s="712">
        <f>+BS!AF6</f>
        <v>792.82743078999988</v>
      </c>
      <c r="K100" s="708"/>
      <c r="P100" s="737"/>
      <c r="Q100" s="737"/>
      <c r="R100" s="737"/>
      <c r="S100" s="738"/>
      <c r="V100" s="737"/>
      <c r="W100" s="737"/>
      <c r="X100" s="737"/>
      <c r="Y100" s="737"/>
      <c r="Z100" s="737"/>
      <c r="AA100" s="737"/>
      <c r="AB100" s="737"/>
      <c r="AC100" s="739"/>
    </row>
    <row r="101" spans="2:29" x14ac:dyDescent="0.15">
      <c r="B101" s="709" t="s">
        <v>21</v>
      </c>
      <c r="C101" s="710">
        <v>17588.514130593168</v>
      </c>
      <c r="D101" s="711">
        <v>20196.110363336531</v>
      </c>
      <c r="E101" s="711">
        <v>23229.00241582319</v>
      </c>
      <c r="F101" s="711">
        <v>27297.068450691833</v>
      </c>
      <c r="G101" s="711">
        <v>31906.0313715558</v>
      </c>
      <c r="H101" s="711">
        <v>36941.754871802135</v>
      </c>
      <c r="I101" s="711">
        <v>42816.785906836813</v>
      </c>
      <c r="J101" s="712">
        <f>+BS!AF7</f>
        <v>49715.627566635041</v>
      </c>
      <c r="K101" s="708"/>
      <c r="P101" s="737"/>
      <c r="Q101" s="737"/>
      <c r="R101" s="737"/>
      <c r="S101" s="738"/>
      <c r="V101" s="737"/>
      <c r="W101" s="737"/>
      <c r="X101" s="737"/>
      <c r="Y101" s="737"/>
      <c r="Z101" s="737"/>
      <c r="AA101" s="737"/>
      <c r="AB101" s="737"/>
      <c r="AC101" s="739"/>
    </row>
    <row r="102" spans="2:29" x14ac:dyDescent="0.15">
      <c r="B102" s="713" t="s">
        <v>219</v>
      </c>
      <c r="C102" s="714">
        <v>18369.593140623168</v>
      </c>
      <c r="D102" s="715">
        <v>20979.336973676531</v>
      </c>
      <c r="E102" s="715">
        <v>24014.04792654319</v>
      </c>
      <c r="F102" s="715">
        <v>28086.432961471834</v>
      </c>
      <c r="G102" s="715">
        <v>32696.600112345801</v>
      </c>
      <c r="H102" s="715">
        <v>37733.151922592137</v>
      </c>
      <c r="I102" s="715">
        <v>43608.322557626816</v>
      </c>
      <c r="J102" s="716">
        <f>+BS!AF8</f>
        <v>50508.45499742504</v>
      </c>
      <c r="K102" s="718">
        <v>0.15499022136814489</v>
      </c>
      <c r="P102" s="737"/>
      <c r="Q102" s="737"/>
      <c r="R102" s="737"/>
      <c r="S102" s="738"/>
      <c r="V102" s="737"/>
      <c r="W102" s="737"/>
      <c r="X102" s="737"/>
      <c r="Y102" s="737"/>
      <c r="Z102" s="737"/>
      <c r="AA102" s="737"/>
      <c r="AB102" s="737"/>
      <c r="AC102" s="739"/>
    </row>
    <row r="103" spans="2:29" x14ac:dyDescent="0.15">
      <c r="B103" s="709" t="s">
        <v>22</v>
      </c>
      <c r="C103" s="710">
        <v>36532.508839167109</v>
      </c>
      <c r="D103" s="711">
        <v>53520.354546158713</v>
      </c>
      <c r="E103" s="711">
        <v>63454.228487309992</v>
      </c>
      <c r="F103" s="711">
        <v>79724.973488312375</v>
      </c>
      <c r="G103" s="711">
        <v>98406.907166782737</v>
      </c>
      <c r="H103" s="711">
        <v>123364.95691877308</v>
      </c>
      <c r="I103" s="711">
        <v>139184.75799978987</v>
      </c>
      <c r="J103" s="721">
        <f>+BS!AF9</f>
        <v>156855.70792115491</v>
      </c>
      <c r="K103" s="718">
        <v>0.249737198373855</v>
      </c>
      <c r="P103" s="737"/>
      <c r="Q103" s="737"/>
      <c r="R103" s="737"/>
      <c r="S103" s="738"/>
      <c r="V103" s="737"/>
      <c r="W103" s="737"/>
      <c r="X103" s="737"/>
      <c r="Y103" s="737"/>
      <c r="Z103" s="737"/>
      <c r="AA103" s="737"/>
      <c r="AB103" s="737"/>
      <c r="AC103" s="739"/>
    </row>
    <row r="104" spans="2:29" x14ac:dyDescent="0.15">
      <c r="B104" s="709" t="s">
        <v>103</v>
      </c>
      <c r="C104" s="710">
        <v>427.49315794432539</v>
      </c>
      <c r="D104" s="711">
        <v>317.03005869572473</v>
      </c>
      <c r="E104" s="711">
        <v>285.22694121686999</v>
      </c>
      <c r="F104" s="711">
        <v>353.55537821683555</v>
      </c>
      <c r="G104" s="711">
        <v>501.77606961036128</v>
      </c>
      <c r="H104" s="711">
        <v>602.47762715652675</v>
      </c>
      <c r="I104" s="711">
        <v>755.7152155127402</v>
      </c>
      <c r="J104" s="712">
        <f>+BS!AF10</f>
        <v>1003.8511824225285</v>
      </c>
      <c r="K104" s="708"/>
      <c r="P104" s="737"/>
      <c r="Q104" s="737"/>
      <c r="R104" s="737"/>
      <c r="S104" s="738"/>
      <c r="V104" s="737"/>
      <c r="W104" s="737"/>
      <c r="X104" s="737"/>
      <c r="Y104" s="737"/>
      <c r="Z104" s="737"/>
      <c r="AA104" s="737"/>
      <c r="AB104" s="737"/>
      <c r="AC104" s="739"/>
    </row>
    <row r="105" spans="2:29" x14ac:dyDescent="0.15">
      <c r="B105" s="709" t="s">
        <v>23</v>
      </c>
      <c r="C105" s="710">
        <v>938.68406273727771</v>
      </c>
      <c r="D105" s="719">
        <v>1753.7717669866406</v>
      </c>
      <c r="E105" s="711">
        <v>1846.9662067098539</v>
      </c>
      <c r="F105" s="711">
        <v>2038.8683241186586</v>
      </c>
      <c r="G105" s="711">
        <v>2500.0261523127283</v>
      </c>
      <c r="H105" s="711">
        <v>3493.9486951505805</v>
      </c>
      <c r="I105" s="711">
        <v>2635.9439946624866</v>
      </c>
      <c r="J105" s="721">
        <f>+BS!AF11</f>
        <v>3756.9951450950839</v>
      </c>
      <c r="K105" s="718"/>
      <c r="P105" s="737"/>
      <c r="Q105" s="737"/>
      <c r="R105" s="737"/>
      <c r="S105" s="738"/>
      <c r="V105" s="737"/>
      <c r="W105" s="737"/>
      <c r="X105" s="737"/>
      <c r="Y105" s="737"/>
      <c r="Z105" s="737"/>
      <c r="AA105" s="737"/>
      <c r="AB105" s="737"/>
      <c r="AC105" s="739"/>
    </row>
    <row r="106" spans="2:29" x14ac:dyDescent="0.15">
      <c r="B106" s="722" t="s">
        <v>24</v>
      </c>
      <c r="C106" s="723">
        <v>56268.279200471879</v>
      </c>
      <c r="D106" s="724">
        <v>76570.493345517607</v>
      </c>
      <c r="E106" s="724">
        <v>89600.469561779901</v>
      </c>
      <c r="F106" s="724">
        <v>110203.8301521197</v>
      </c>
      <c r="G106" s="724">
        <v>134105.30950105158</v>
      </c>
      <c r="H106" s="724">
        <v>165194.53516367232</v>
      </c>
      <c r="I106" s="724">
        <v>186184.73976759191</v>
      </c>
      <c r="J106" s="725">
        <f>+BS!AF12</f>
        <v>212125.00924609756</v>
      </c>
      <c r="K106" s="726">
        <v>0.22071254587546107</v>
      </c>
      <c r="P106" s="737"/>
      <c r="Q106" s="737"/>
      <c r="R106" s="737"/>
      <c r="S106" s="738"/>
      <c r="V106" s="737"/>
      <c r="W106" s="737"/>
      <c r="X106" s="737"/>
      <c r="Y106" s="737"/>
      <c r="Z106" s="737"/>
      <c r="AA106" s="737"/>
      <c r="AB106" s="737"/>
      <c r="AC106" s="739"/>
    </row>
    <row r="107" spans="2:29" x14ac:dyDescent="0.15">
      <c r="B107" s="704" t="s">
        <v>25</v>
      </c>
      <c r="C107" s="727"/>
      <c r="D107" s="728"/>
      <c r="E107" s="728"/>
      <c r="F107" s="728"/>
      <c r="G107" s="728"/>
      <c r="H107" s="728"/>
      <c r="I107" s="728"/>
      <c r="J107" s="716"/>
      <c r="K107" s="730"/>
      <c r="P107" s="737"/>
      <c r="Q107" s="737"/>
      <c r="R107" s="737"/>
      <c r="S107" s="738"/>
      <c r="V107" s="737"/>
      <c r="W107" s="737"/>
      <c r="X107" s="737"/>
      <c r="Y107" s="737"/>
      <c r="Z107" s="737"/>
      <c r="AA107" s="737"/>
      <c r="AB107" s="737"/>
      <c r="AC107" s="739"/>
    </row>
    <row r="108" spans="2:29" x14ac:dyDescent="0.15">
      <c r="B108" s="709" t="s">
        <v>26</v>
      </c>
      <c r="C108" s="710">
        <v>47244.899896294293</v>
      </c>
      <c r="D108" s="711">
        <v>61807.982761171836</v>
      </c>
      <c r="E108" s="711">
        <v>75232.862971911018</v>
      </c>
      <c r="F108" s="711">
        <v>90534.236379052425</v>
      </c>
      <c r="G108" s="711">
        <v>114762.74483970468</v>
      </c>
      <c r="H108" s="711">
        <v>140043.66843149986</v>
      </c>
      <c r="I108" s="711">
        <v>162297.09296415022</v>
      </c>
      <c r="J108" s="712">
        <f>+BS!AF14</f>
        <v>0</v>
      </c>
      <c r="K108" s="708">
        <v>0.22836085478029866</v>
      </c>
      <c r="P108" s="737"/>
      <c r="Q108" s="737"/>
      <c r="R108" s="737"/>
      <c r="S108" s="738"/>
      <c r="V108" s="737"/>
      <c r="W108" s="737"/>
      <c r="X108" s="737"/>
      <c r="Y108" s="737"/>
      <c r="Z108" s="737"/>
      <c r="AA108" s="737"/>
      <c r="AB108" s="737"/>
      <c r="AC108" s="739"/>
    </row>
    <row r="109" spans="2:29" x14ac:dyDescent="0.15">
      <c r="B109" s="709" t="s">
        <v>27</v>
      </c>
      <c r="C109" s="710">
        <v>45</v>
      </c>
      <c r="D109" s="711">
        <v>45</v>
      </c>
      <c r="E109" s="711">
        <v>45</v>
      </c>
      <c r="F109" s="711">
        <v>675.17313080999998</v>
      </c>
      <c r="G109" s="711">
        <v>1230.8055743761843</v>
      </c>
      <c r="H109" s="711">
        <v>1821.563010371256</v>
      </c>
      <c r="I109" s="711">
        <v>2300.1839983800005</v>
      </c>
      <c r="J109" s="712">
        <f>+BS!AF15</f>
        <v>183726.94681780701</v>
      </c>
      <c r="K109" s="708"/>
      <c r="P109" s="737"/>
      <c r="Q109" s="737"/>
      <c r="R109" s="737"/>
      <c r="S109" s="738"/>
      <c r="V109" s="737"/>
      <c r="W109" s="737"/>
      <c r="X109" s="737"/>
      <c r="Y109" s="737"/>
      <c r="Z109" s="737"/>
      <c r="AA109" s="737"/>
      <c r="AB109" s="737"/>
      <c r="AC109" s="739"/>
    </row>
    <row r="110" spans="2:29" x14ac:dyDescent="0.15">
      <c r="B110" s="709" t="s">
        <v>28</v>
      </c>
      <c r="C110" s="710">
        <v>229.11623680000005</v>
      </c>
      <c r="D110" s="719">
        <v>318.55475199999995</v>
      </c>
      <c r="E110" s="711">
        <v>289.27467748855423</v>
      </c>
      <c r="F110" s="711">
        <v>327.32710493877346</v>
      </c>
      <c r="G110" s="711">
        <v>561.14665711777366</v>
      </c>
      <c r="H110" s="711">
        <v>714.81335909656366</v>
      </c>
      <c r="I110" s="711">
        <v>824.1348981565643</v>
      </c>
      <c r="J110" s="712">
        <f>+BS!AF16</f>
        <v>2708.1180209599997</v>
      </c>
      <c r="K110" s="708">
        <v>0.23781879549001128</v>
      </c>
      <c r="P110" s="737"/>
      <c r="Q110" s="737"/>
      <c r="R110" s="737"/>
      <c r="S110" s="738"/>
      <c r="V110" s="737"/>
      <c r="W110" s="737"/>
      <c r="X110" s="737"/>
      <c r="Y110" s="737"/>
      <c r="Z110" s="737"/>
      <c r="AA110" s="737"/>
      <c r="AB110" s="737"/>
      <c r="AC110" s="739"/>
    </row>
    <row r="111" spans="2:29" x14ac:dyDescent="0.15">
      <c r="B111" s="709" t="s">
        <v>29</v>
      </c>
      <c r="C111" s="710">
        <v>6791.4830126199995</v>
      </c>
      <c r="D111" s="719">
        <v>11920.553596039999</v>
      </c>
      <c r="E111" s="711">
        <v>11209.623608230002</v>
      </c>
      <c r="F111" s="711">
        <v>15302.263949839999</v>
      </c>
      <c r="G111" s="711">
        <v>13816.270803259999</v>
      </c>
      <c r="H111" s="711">
        <v>17978.215571639998</v>
      </c>
      <c r="I111" s="711">
        <v>15596.3180851</v>
      </c>
      <c r="J111" s="712">
        <f>+BS!AF17</f>
        <v>921.47087626656162</v>
      </c>
      <c r="K111" s="708">
        <v>0.14861965664193244</v>
      </c>
      <c r="P111" s="737"/>
      <c r="Q111" s="737"/>
      <c r="R111" s="737"/>
      <c r="S111" s="738"/>
      <c r="V111" s="737"/>
      <c r="W111" s="737"/>
      <c r="X111" s="737"/>
      <c r="Y111" s="737"/>
      <c r="Z111" s="737"/>
      <c r="AA111" s="737"/>
      <c r="AB111" s="737"/>
      <c r="AC111" s="739"/>
    </row>
    <row r="112" spans="2:29" x14ac:dyDescent="0.15">
      <c r="B112" s="731" t="s">
        <v>30</v>
      </c>
      <c r="C112" s="710">
        <v>1957.7785687870169</v>
      </c>
      <c r="D112" s="719">
        <v>2478</v>
      </c>
      <c r="E112" s="711">
        <v>2823.7073140583293</v>
      </c>
      <c r="F112" s="711">
        <v>3364.8308420710709</v>
      </c>
      <c r="G112" s="711">
        <v>3734.3419038004618</v>
      </c>
      <c r="H112" s="711">
        <v>4636.2765682826275</v>
      </c>
      <c r="I112" s="711">
        <v>5167.0106235328676</v>
      </c>
      <c r="J112" s="734">
        <f>+BS!AF18</f>
        <v>18432.994277309997</v>
      </c>
      <c r="K112" s="735"/>
      <c r="P112" s="737"/>
      <c r="Q112" s="737"/>
      <c r="R112" s="737"/>
      <c r="S112" s="738"/>
      <c r="V112" s="737"/>
      <c r="W112" s="737"/>
      <c r="X112" s="737"/>
      <c r="Y112" s="737"/>
      <c r="Z112" s="737"/>
      <c r="AA112" s="737"/>
      <c r="AB112" s="737"/>
      <c r="AC112" s="739"/>
    </row>
    <row r="113" spans="2:29" x14ac:dyDescent="0.15">
      <c r="B113" s="722" t="s">
        <v>24</v>
      </c>
      <c r="C113" s="723">
        <v>56268.27771450131</v>
      </c>
      <c r="D113" s="724">
        <v>76570.091109211833</v>
      </c>
      <c r="E113" s="724">
        <v>89600.468571687903</v>
      </c>
      <c r="F113" s="724">
        <v>110203.83140671226</v>
      </c>
      <c r="G113" s="724">
        <v>134105.30977825899</v>
      </c>
      <c r="H113" s="724">
        <v>165194.53694088999</v>
      </c>
      <c r="I113" s="724">
        <v>186184.74056931966</v>
      </c>
      <c r="J113" s="725">
        <f>+BS!AF19</f>
        <v>6335.4780822976136</v>
      </c>
      <c r="K113" s="726">
        <v>0.2207125521244433</v>
      </c>
      <c r="P113" s="737"/>
      <c r="Q113" s="737"/>
      <c r="R113" s="737"/>
      <c r="S113" s="738"/>
      <c r="V113" s="737"/>
      <c r="W113" s="737"/>
      <c r="X113" s="737"/>
      <c r="Y113" s="737"/>
      <c r="Z113" s="737"/>
      <c r="AA113" s="737"/>
      <c r="AB113" s="737"/>
      <c r="AC113" s="739"/>
    </row>
    <row r="114" spans="2:29" x14ac:dyDescent="0.15">
      <c r="B114" s="736"/>
      <c r="C114" s="737"/>
      <c r="D114" s="737"/>
      <c r="E114" s="737"/>
      <c r="F114" s="737"/>
      <c r="G114" s="737"/>
      <c r="H114" s="737"/>
      <c r="I114" s="737"/>
      <c r="J114" s="737"/>
      <c r="K114" s="737"/>
      <c r="P114" s="737"/>
      <c r="Q114" s="737"/>
      <c r="R114" s="737"/>
      <c r="S114" s="738"/>
      <c r="V114" s="737"/>
      <c r="W114" s="737"/>
      <c r="X114" s="737"/>
      <c r="Y114" s="737"/>
      <c r="Z114" s="737"/>
      <c r="AA114" s="737"/>
      <c r="AB114" s="737"/>
      <c r="AC114" s="739"/>
    </row>
    <row r="115" spans="2:29" x14ac:dyDescent="0.15">
      <c r="B115" s="815" t="s">
        <v>270</v>
      </c>
      <c r="C115" s="737"/>
      <c r="D115" s="737"/>
      <c r="E115" s="737"/>
      <c r="F115" s="737"/>
      <c r="G115" s="737"/>
      <c r="H115" s="737"/>
      <c r="I115" s="737"/>
      <c r="J115" s="737"/>
      <c r="K115" s="737"/>
      <c r="P115" s="737"/>
      <c r="Q115" s="737"/>
      <c r="R115" s="737"/>
      <c r="S115" s="738"/>
      <c r="V115" s="737"/>
      <c r="W115" s="737"/>
      <c r="X115" s="737"/>
      <c r="Y115" s="737"/>
      <c r="Z115" s="737"/>
      <c r="AA115" s="737"/>
      <c r="AB115" s="737"/>
      <c r="AC115" s="739"/>
    </row>
    <row r="116" spans="2:29" x14ac:dyDescent="0.15">
      <c r="B116" s="699" t="s">
        <v>162</v>
      </c>
      <c r="C116" s="702" t="s">
        <v>6</v>
      </c>
      <c r="D116" s="620" t="s">
        <v>7</v>
      </c>
      <c r="E116" s="620" t="s">
        <v>8</v>
      </c>
      <c r="F116" s="620" t="s">
        <v>9</v>
      </c>
      <c r="G116" s="620" t="s">
        <v>10</v>
      </c>
      <c r="H116" s="620" t="s">
        <v>98</v>
      </c>
      <c r="I116" s="620" t="s">
        <v>239</v>
      </c>
      <c r="J116" s="703" t="str">
        <f>+Operational!AF3</f>
        <v>FY26</v>
      </c>
      <c r="K116" s="737"/>
      <c r="P116" s="737"/>
      <c r="Q116" s="737"/>
      <c r="R116" s="737"/>
      <c r="S116" s="738"/>
      <c r="V116" s="737"/>
      <c r="W116" s="737"/>
      <c r="X116" s="737"/>
      <c r="Y116" s="737"/>
      <c r="Z116" s="737"/>
      <c r="AA116" s="737"/>
      <c r="AB116" s="737"/>
      <c r="AC116" s="739"/>
    </row>
    <row r="117" spans="2:29" x14ac:dyDescent="0.15">
      <c r="B117" s="744" t="s">
        <v>31</v>
      </c>
      <c r="C117" s="745">
        <v>59416.107780759885</v>
      </c>
      <c r="D117" s="746">
        <v>77960.916545987318</v>
      </c>
      <c r="E117" s="746">
        <v>94542.930227910401</v>
      </c>
      <c r="F117" s="746">
        <v>113502.11984455099</v>
      </c>
      <c r="G117" s="746">
        <v>141666.617836255</v>
      </c>
      <c r="H117" s="746">
        <v>173126.46641333599</v>
      </c>
      <c r="I117" s="746">
        <v>204201.76</v>
      </c>
      <c r="J117" s="747">
        <f>+Operational!AF4</f>
        <v>234517.1</v>
      </c>
      <c r="K117" s="737"/>
      <c r="P117" s="737"/>
      <c r="Q117" s="737"/>
      <c r="R117" s="737"/>
      <c r="S117" s="738"/>
      <c r="V117" s="737"/>
      <c r="W117" s="737"/>
      <c r="X117" s="737"/>
      <c r="Y117" s="737"/>
      <c r="Z117" s="737"/>
      <c r="AA117" s="737"/>
      <c r="AB117" s="737"/>
      <c r="AC117" s="739"/>
    </row>
    <row r="118" spans="2:29" x14ac:dyDescent="0.15">
      <c r="B118" s="748" t="s">
        <v>32</v>
      </c>
      <c r="C118" s="705">
        <v>26723.699999999997</v>
      </c>
      <c r="D118" s="706">
        <v>29303.9</v>
      </c>
      <c r="E118" s="706">
        <v>26568.537617719005</v>
      </c>
      <c r="F118" s="706">
        <v>36022.353589999999</v>
      </c>
      <c r="G118" s="706">
        <v>50245.411064459928</v>
      </c>
      <c r="H118" s="670">
        <v>55822.2</v>
      </c>
      <c r="I118" s="670">
        <v>61230.06</v>
      </c>
      <c r="J118" s="749">
        <f>+Operational!AF5</f>
        <v>67750.880000000005</v>
      </c>
      <c r="K118" s="737"/>
      <c r="P118" s="737"/>
      <c r="Q118" s="737"/>
      <c r="R118" s="737"/>
      <c r="S118" s="738"/>
      <c r="V118" s="737"/>
      <c r="W118" s="737"/>
      <c r="X118" s="737"/>
      <c r="Y118" s="737"/>
      <c r="Z118" s="737"/>
      <c r="AA118" s="737"/>
      <c r="AB118" s="737"/>
      <c r="AC118" s="739"/>
    </row>
    <row r="119" spans="2:29" x14ac:dyDescent="0.15">
      <c r="B119" s="750" t="s">
        <v>137</v>
      </c>
      <c r="C119" s="791"/>
      <c r="D119" s="792"/>
      <c r="E119" s="792"/>
      <c r="F119" s="792"/>
      <c r="G119" s="792"/>
      <c r="H119" s="792"/>
      <c r="I119" s="792"/>
      <c r="J119" s="793"/>
      <c r="K119" s="737"/>
      <c r="P119" s="737"/>
      <c r="Q119" s="737"/>
      <c r="R119" s="737"/>
      <c r="S119" s="738"/>
      <c r="V119" s="737"/>
      <c r="W119" s="737"/>
      <c r="X119" s="737"/>
      <c r="Y119" s="737"/>
      <c r="Z119" s="737"/>
      <c r="AA119" s="737"/>
      <c r="AB119" s="737"/>
      <c r="AC119" s="739"/>
    </row>
    <row r="120" spans="2:29" x14ac:dyDescent="0.15">
      <c r="B120" s="757" t="s">
        <v>129</v>
      </c>
      <c r="C120" s="761">
        <v>0.755</v>
      </c>
      <c r="D120" s="762">
        <v>0.73499999999999999</v>
      </c>
      <c r="E120" s="816">
        <v>0.73499999999999999</v>
      </c>
      <c r="F120" s="816">
        <v>0.72099999999999997</v>
      </c>
      <c r="G120" s="816">
        <v>0.69910000000000005</v>
      </c>
      <c r="H120" s="816">
        <v>0.69299999999999995</v>
      </c>
      <c r="I120" s="816">
        <v>0.67970122685040646</v>
      </c>
      <c r="J120" s="817">
        <f>+Operational!AF7</f>
        <v>0.65008265921760078</v>
      </c>
      <c r="K120" s="737"/>
      <c r="P120" s="737"/>
      <c r="Q120" s="737"/>
      <c r="R120" s="737"/>
      <c r="S120" s="738"/>
      <c r="V120" s="737"/>
      <c r="W120" s="737"/>
      <c r="X120" s="737"/>
      <c r="Y120" s="737"/>
      <c r="Z120" s="737"/>
      <c r="AA120" s="737"/>
      <c r="AB120" s="737"/>
      <c r="AC120" s="739"/>
    </row>
    <row r="121" spans="2:29" x14ac:dyDescent="0.15">
      <c r="B121" s="709" t="s">
        <v>143</v>
      </c>
      <c r="C121" s="761">
        <v>0.245</v>
      </c>
      <c r="D121" s="762">
        <v>0.26500000000000001</v>
      </c>
      <c r="E121" s="816">
        <v>0.26500000000000001</v>
      </c>
      <c r="F121" s="816">
        <v>0.27900000000000003</v>
      </c>
      <c r="G121" s="816">
        <v>0.30089999999999995</v>
      </c>
      <c r="H121" s="816">
        <v>0.30700000000000005</v>
      </c>
      <c r="I121" s="816">
        <v>0.32029877314959349</v>
      </c>
      <c r="J121" s="817">
        <f>+Operational!AF8</f>
        <v>0.34991734078239922</v>
      </c>
      <c r="K121" s="737"/>
      <c r="P121" s="737"/>
      <c r="Q121" s="737"/>
      <c r="R121" s="737"/>
      <c r="S121" s="738"/>
      <c r="V121" s="737"/>
      <c r="W121" s="737"/>
      <c r="X121" s="737"/>
      <c r="Y121" s="737"/>
      <c r="Z121" s="737"/>
      <c r="AA121" s="737"/>
      <c r="AB121" s="737"/>
      <c r="AC121" s="739"/>
    </row>
    <row r="122" spans="2:29" x14ac:dyDescent="0.15">
      <c r="B122" s="764" t="s">
        <v>158</v>
      </c>
      <c r="C122" s="818">
        <v>0</v>
      </c>
      <c r="D122" s="819">
        <v>0</v>
      </c>
      <c r="E122" s="819">
        <v>0</v>
      </c>
      <c r="F122" s="819">
        <v>0</v>
      </c>
      <c r="G122" s="766">
        <v>0.1041</v>
      </c>
      <c r="H122" s="766">
        <v>0.17</v>
      </c>
      <c r="I122" s="766">
        <v>0.192</v>
      </c>
      <c r="J122" s="767">
        <f>+Operational!AF9</f>
        <v>0.2242318363991368</v>
      </c>
      <c r="K122" s="737"/>
      <c r="P122" s="737"/>
      <c r="Q122" s="737"/>
      <c r="R122" s="737"/>
      <c r="S122" s="738"/>
      <c r="V122" s="737"/>
      <c r="W122" s="737"/>
      <c r="X122" s="737"/>
      <c r="Y122" s="737"/>
      <c r="Z122" s="737"/>
      <c r="AA122" s="737"/>
      <c r="AB122" s="737"/>
      <c r="AC122" s="739"/>
    </row>
    <row r="123" spans="2:29" x14ac:dyDescent="0.15">
      <c r="B123" s="764" t="s">
        <v>159</v>
      </c>
      <c r="C123" s="765">
        <v>0.245</v>
      </c>
      <c r="D123" s="766">
        <v>0.26500000000000001</v>
      </c>
      <c r="E123" s="766">
        <v>0.26500000000000001</v>
      </c>
      <c r="F123" s="766">
        <v>0.27900000000000003</v>
      </c>
      <c r="G123" s="766">
        <v>0.19679999999999997</v>
      </c>
      <c r="H123" s="766">
        <v>0.13700000000000001</v>
      </c>
      <c r="I123" s="766">
        <v>0.128</v>
      </c>
      <c r="J123" s="767">
        <f>+Operational!AF10</f>
        <v>0.12568550438326245</v>
      </c>
      <c r="K123" s="737"/>
      <c r="P123" s="737"/>
      <c r="Q123" s="737"/>
      <c r="R123" s="737"/>
      <c r="S123" s="738"/>
      <c r="V123" s="737"/>
      <c r="W123" s="737"/>
      <c r="X123" s="737"/>
      <c r="Y123" s="737"/>
      <c r="Z123" s="737"/>
      <c r="AA123" s="737"/>
      <c r="AB123" s="737"/>
      <c r="AC123" s="739"/>
    </row>
    <row r="124" spans="2:29" x14ac:dyDescent="0.15">
      <c r="B124" s="768" t="s">
        <v>138</v>
      </c>
      <c r="C124" s="791"/>
      <c r="D124" s="792"/>
      <c r="E124" s="792"/>
      <c r="F124" s="792"/>
      <c r="G124" s="792"/>
      <c r="H124" s="792"/>
      <c r="I124" s="792"/>
      <c r="J124" s="793"/>
      <c r="K124" s="737"/>
      <c r="P124" s="737"/>
      <c r="Q124" s="737"/>
      <c r="R124" s="737"/>
      <c r="S124" s="738"/>
      <c r="V124" s="737"/>
      <c r="W124" s="737"/>
      <c r="X124" s="737"/>
      <c r="Y124" s="737"/>
      <c r="Z124" s="737"/>
      <c r="AA124" s="737"/>
      <c r="AB124" s="737"/>
      <c r="AC124" s="739"/>
    </row>
    <row r="125" spans="2:29" x14ac:dyDescent="0.15">
      <c r="B125" s="820" t="s">
        <v>129</v>
      </c>
      <c r="C125" s="772">
        <v>0.72299999999999998</v>
      </c>
      <c r="D125" s="773">
        <v>0.70099999999999996</v>
      </c>
      <c r="E125" s="773">
        <v>0.73199999999999998</v>
      </c>
      <c r="F125" s="773">
        <v>0.68200000000000005</v>
      </c>
      <c r="G125" s="773">
        <v>0.66290000000000004</v>
      </c>
      <c r="H125" s="773">
        <v>0.66449999999999998</v>
      </c>
      <c r="I125" s="773">
        <v>0.63670000000000004</v>
      </c>
      <c r="J125" s="774">
        <f>+Operational!AF12</f>
        <v>0.5675045386783959</v>
      </c>
      <c r="K125" s="737"/>
      <c r="P125" s="737"/>
      <c r="Q125" s="737"/>
      <c r="R125" s="737"/>
      <c r="S125" s="738"/>
      <c r="V125" s="737"/>
      <c r="W125" s="737"/>
      <c r="X125" s="737"/>
      <c r="Y125" s="737"/>
      <c r="Z125" s="737"/>
      <c r="AA125" s="737"/>
      <c r="AB125" s="737"/>
      <c r="AC125" s="739"/>
    </row>
    <row r="126" spans="2:29" x14ac:dyDescent="0.15">
      <c r="B126" s="771" t="s">
        <v>143</v>
      </c>
      <c r="C126" s="772">
        <v>0.27700000000000002</v>
      </c>
      <c r="D126" s="773">
        <v>0.29900000000000004</v>
      </c>
      <c r="E126" s="773">
        <v>0.26800000000000002</v>
      </c>
      <c r="F126" s="773">
        <v>0.31799999999999995</v>
      </c>
      <c r="G126" s="773">
        <v>0.33709999999999996</v>
      </c>
      <c r="H126" s="773">
        <v>0.33550000000000002</v>
      </c>
      <c r="I126" s="773">
        <v>0.36330000000000001</v>
      </c>
      <c r="J126" s="774">
        <f>+Operational!AF13</f>
        <v>0.4324954613216041</v>
      </c>
      <c r="K126" s="737"/>
      <c r="P126" s="737"/>
      <c r="Q126" s="737"/>
      <c r="R126" s="737"/>
      <c r="S126" s="738"/>
      <c r="V126" s="737"/>
      <c r="W126" s="737"/>
      <c r="X126" s="737"/>
      <c r="Y126" s="737"/>
      <c r="Z126" s="737"/>
      <c r="AA126" s="737"/>
      <c r="AB126" s="737"/>
      <c r="AC126" s="739"/>
    </row>
    <row r="127" spans="2:29" x14ac:dyDescent="0.15">
      <c r="B127" s="764" t="s">
        <v>158</v>
      </c>
      <c r="C127" s="818">
        <v>0</v>
      </c>
      <c r="D127" s="819">
        <v>0</v>
      </c>
      <c r="E127" s="819">
        <v>0</v>
      </c>
      <c r="F127" s="819">
        <v>0</v>
      </c>
      <c r="G127" s="766">
        <v>0.1411</v>
      </c>
      <c r="H127" s="766">
        <v>0.24629999999999999</v>
      </c>
      <c r="I127" s="766">
        <v>0.24879999999999999</v>
      </c>
      <c r="J127" s="767">
        <f>+Operational!AF14</f>
        <v>0.31578869684580302</v>
      </c>
      <c r="K127" s="737"/>
      <c r="P127" s="737"/>
      <c r="Q127" s="737"/>
      <c r="R127" s="737"/>
      <c r="S127" s="738"/>
      <c r="V127" s="737"/>
      <c r="W127" s="737"/>
      <c r="X127" s="737"/>
      <c r="Y127" s="737"/>
      <c r="Z127" s="737"/>
      <c r="AA127" s="737"/>
      <c r="AB127" s="737"/>
      <c r="AC127" s="739"/>
    </row>
    <row r="128" spans="2:29" x14ac:dyDescent="0.15">
      <c r="B128" s="764" t="s">
        <v>159</v>
      </c>
      <c r="C128" s="765">
        <v>0.27700000000000002</v>
      </c>
      <c r="D128" s="766">
        <v>0.29900000000000004</v>
      </c>
      <c r="E128" s="766">
        <v>0.26800000000000002</v>
      </c>
      <c r="F128" s="766">
        <v>0.31799999999999995</v>
      </c>
      <c r="G128" s="766">
        <v>0.19599999999999995</v>
      </c>
      <c r="H128" s="766">
        <v>8.9200000000000057E-2</v>
      </c>
      <c r="I128" s="766">
        <v>0.1145</v>
      </c>
      <c r="J128" s="767">
        <f>+Operational!AF15</f>
        <v>0.1167067644758011</v>
      </c>
      <c r="K128" s="737"/>
      <c r="P128" s="737"/>
      <c r="Q128" s="737"/>
      <c r="R128" s="737"/>
      <c r="S128" s="738"/>
      <c r="V128" s="737"/>
      <c r="W128" s="737"/>
      <c r="X128" s="737"/>
      <c r="Y128" s="737"/>
      <c r="Z128" s="737"/>
      <c r="AA128" s="737"/>
      <c r="AB128" s="737"/>
      <c r="AC128" s="739"/>
    </row>
    <row r="129" spans="2:29" x14ac:dyDescent="0.15">
      <c r="B129" s="750" t="s">
        <v>144</v>
      </c>
      <c r="C129" s="791"/>
      <c r="D129" s="792"/>
      <c r="E129" s="792"/>
      <c r="F129" s="792"/>
      <c r="G129" s="792"/>
      <c r="H129" s="792"/>
      <c r="I129" s="792"/>
      <c r="J129" s="793"/>
      <c r="K129" s="737"/>
      <c r="P129" s="737"/>
      <c r="Q129" s="737"/>
      <c r="R129" s="737"/>
      <c r="S129" s="738"/>
      <c r="V129" s="737"/>
      <c r="W129" s="737"/>
      <c r="X129" s="737"/>
      <c r="Y129" s="737"/>
      <c r="Z129" s="737"/>
      <c r="AA129" s="737"/>
      <c r="AB129" s="737"/>
      <c r="AC129" s="739"/>
    </row>
    <row r="130" spans="2:29" x14ac:dyDescent="0.15">
      <c r="B130" s="776" t="s">
        <v>139</v>
      </c>
      <c r="C130" s="777">
        <v>8.5940000000000012</v>
      </c>
      <c r="D130" s="778">
        <v>8.3989999999999991</v>
      </c>
      <c r="E130" s="778">
        <v>8.4904710948435795</v>
      </c>
      <c r="F130" s="778">
        <v>8.6403808643270601</v>
      </c>
      <c r="G130" s="778">
        <v>8.8972974833336007</v>
      </c>
      <c r="H130" s="778">
        <v>9.2932918572560403</v>
      </c>
      <c r="I130" s="778">
        <v>9.68</v>
      </c>
      <c r="J130" s="779">
        <f>+Operational!AF17</f>
        <v>10.199999999999999</v>
      </c>
      <c r="K130" s="737"/>
      <c r="P130" s="737"/>
      <c r="Q130" s="737"/>
      <c r="R130" s="737"/>
      <c r="S130" s="738"/>
      <c r="V130" s="737"/>
      <c r="W130" s="737"/>
      <c r="X130" s="737"/>
      <c r="Y130" s="737"/>
      <c r="Z130" s="737"/>
      <c r="AA130" s="737"/>
      <c r="AB130" s="737"/>
      <c r="AC130" s="739"/>
    </row>
    <row r="131" spans="2:29" x14ac:dyDescent="0.15">
      <c r="B131" s="781" t="s">
        <v>129</v>
      </c>
      <c r="C131" s="782">
        <v>8.99</v>
      </c>
      <c r="D131" s="783">
        <v>9.16</v>
      </c>
      <c r="E131" s="783">
        <v>9.3000000000000007</v>
      </c>
      <c r="F131" s="783">
        <v>9.3800000000000008</v>
      </c>
      <c r="G131" s="783">
        <v>9.68</v>
      </c>
      <c r="H131" s="783">
        <v>10.220000000000001</v>
      </c>
      <c r="I131" s="783">
        <v>10.705</v>
      </c>
      <c r="J131" s="784">
        <f>+Operational!AF18</f>
        <v>11.14</v>
      </c>
      <c r="K131" s="737"/>
      <c r="P131" s="737"/>
      <c r="Q131" s="737"/>
      <c r="R131" s="737"/>
      <c r="S131" s="738"/>
      <c r="V131" s="737"/>
      <c r="W131" s="737"/>
      <c r="X131" s="737"/>
      <c r="Y131" s="737"/>
      <c r="Z131" s="737"/>
      <c r="AA131" s="737"/>
      <c r="AB131" s="737"/>
      <c r="AC131" s="739"/>
    </row>
    <row r="132" spans="2:29" x14ac:dyDescent="0.15">
      <c r="B132" s="781" t="s">
        <v>143</v>
      </c>
      <c r="C132" s="782">
        <v>7.34</v>
      </c>
      <c r="D132" s="783">
        <v>6.73</v>
      </c>
      <c r="E132" s="783">
        <v>6.75</v>
      </c>
      <c r="F132" s="783">
        <v>7.1</v>
      </c>
      <c r="G132" s="783">
        <v>7.4</v>
      </c>
      <c r="H132" s="783">
        <v>7.64</v>
      </c>
      <c r="I132" s="783">
        <v>7.9859999999999998</v>
      </c>
      <c r="J132" s="784">
        <f>+Operational!AF19</f>
        <v>8.8000000000000007</v>
      </c>
      <c r="K132" s="737"/>
      <c r="P132" s="737"/>
      <c r="Q132" s="737"/>
      <c r="R132" s="737"/>
      <c r="S132" s="738"/>
      <c r="V132" s="737"/>
      <c r="W132" s="737"/>
      <c r="X132" s="737"/>
      <c r="Y132" s="737"/>
      <c r="Z132" s="737"/>
      <c r="AA132" s="737"/>
      <c r="AB132" s="737"/>
      <c r="AC132" s="739"/>
    </row>
    <row r="133" spans="2:29" x14ac:dyDescent="0.15">
      <c r="B133" s="764" t="s">
        <v>158</v>
      </c>
      <c r="C133" s="788">
        <v>0</v>
      </c>
      <c r="D133" s="789">
        <v>0</v>
      </c>
      <c r="E133" s="789">
        <v>0</v>
      </c>
      <c r="F133" s="789">
        <v>0</v>
      </c>
      <c r="G133" s="789">
        <v>7.93</v>
      </c>
      <c r="H133" s="789">
        <v>8.51</v>
      </c>
      <c r="I133" s="789">
        <v>8.43</v>
      </c>
      <c r="J133" s="790">
        <f>+Operational!AF20</f>
        <v>9.39</v>
      </c>
      <c r="K133" s="737"/>
      <c r="P133" s="737"/>
      <c r="Q133" s="737"/>
      <c r="R133" s="737"/>
      <c r="S133" s="738"/>
      <c r="V133" s="737"/>
      <c r="W133" s="737"/>
      <c r="X133" s="737"/>
      <c r="Y133" s="737"/>
      <c r="Z133" s="737"/>
      <c r="AA133" s="737"/>
      <c r="AB133" s="737"/>
      <c r="AC133" s="739"/>
    </row>
    <row r="134" spans="2:29" x14ac:dyDescent="0.15">
      <c r="B134" s="764" t="s">
        <v>159</v>
      </c>
      <c r="C134" s="788">
        <v>0</v>
      </c>
      <c r="D134" s="789">
        <v>0</v>
      </c>
      <c r="E134" s="789">
        <v>0</v>
      </c>
      <c r="F134" s="789">
        <v>0</v>
      </c>
      <c r="G134" s="789">
        <v>7.15</v>
      </c>
      <c r="H134" s="789">
        <v>6.81</v>
      </c>
      <c r="I134" s="789">
        <v>7.42</v>
      </c>
      <c r="J134" s="790">
        <f>+Operational!AF21</f>
        <v>7.9</v>
      </c>
      <c r="K134" s="737"/>
      <c r="P134" s="737"/>
      <c r="Q134" s="737"/>
      <c r="R134" s="737"/>
      <c r="S134" s="738"/>
      <c r="V134" s="737"/>
      <c r="W134" s="737"/>
      <c r="X134" s="737"/>
      <c r="Y134" s="737"/>
      <c r="Z134" s="737"/>
      <c r="AA134" s="737"/>
      <c r="AB134" s="737"/>
      <c r="AC134" s="739"/>
    </row>
    <row r="135" spans="2:29" x14ac:dyDescent="0.15">
      <c r="B135" s="722" t="s">
        <v>104</v>
      </c>
      <c r="C135" s="791"/>
      <c r="D135" s="792"/>
      <c r="E135" s="792"/>
      <c r="F135" s="792"/>
      <c r="G135" s="792"/>
      <c r="H135" s="792"/>
      <c r="I135" s="792"/>
      <c r="J135" s="793"/>
      <c r="K135" s="737"/>
      <c r="P135" s="737"/>
      <c r="Q135" s="737"/>
      <c r="R135" s="737"/>
      <c r="S135" s="738"/>
      <c r="V135" s="737"/>
      <c r="W135" s="737"/>
      <c r="X135" s="737"/>
      <c r="Y135" s="737"/>
      <c r="Z135" s="737"/>
      <c r="AA135" s="737"/>
      <c r="AB135" s="737"/>
      <c r="AC135" s="739"/>
    </row>
    <row r="136" spans="2:29" x14ac:dyDescent="0.15">
      <c r="B136" s="757" t="s">
        <v>34</v>
      </c>
      <c r="C136" s="761">
        <v>0.35133069992813393</v>
      </c>
      <c r="D136" s="762">
        <v>0.34966732298995584</v>
      </c>
      <c r="E136" s="762">
        <v>0.39583096647064064</v>
      </c>
      <c r="F136" s="762">
        <v>0.3996976838554463</v>
      </c>
      <c r="G136" s="762">
        <v>0.39900734960846601</v>
      </c>
      <c r="H136" s="762">
        <v>0.40157777018200019</v>
      </c>
      <c r="I136" s="762">
        <v>0.39751456586439637</v>
      </c>
      <c r="J136" s="763">
        <f>+Operational!AF23</f>
        <v>0.38522462318328887</v>
      </c>
      <c r="K136" s="737"/>
      <c r="P136" s="737"/>
      <c r="Q136" s="737"/>
      <c r="R136" s="737"/>
      <c r="S136" s="738"/>
      <c r="V136" s="737"/>
      <c r="W136" s="737"/>
      <c r="X136" s="737"/>
      <c r="Y136" s="737"/>
      <c r="Z136" s="737"/>
      <c r="AA136" s="737"/>
      <c r="AB136" s="737"/>
      <c r="AC136" s="739"/>
    </row>
    <row r="137" spans="2:29" x14ac:dyDescent="0.15">
      <c r="B137" s="731" t="s">
        <v>33</v>
      </c>
      <c r="C137" s="761">
        <v>0.64866930007186607</v>
      </c>
      <c r="D137" s="762">
        <v>0.65033267701004416</v>
      </c>
      <c r="E137" s="762">
        <v>0.60416903352935936</v>
      </c>
      <c r="F137" s="762">
        <v>0.60030231614455376</v>
      </c>
      <c r="G137" s="762">
        <v>0.60099265039153393</v>
      </c>
      <c r="H137" s="762">
        <v>0.59842222981799975</v>
      </c>
      <c r="I137" s="762">
        <v>0.60248543413560363</v>
      </c>
      <c r="J137" s="763">
        <f>+Operational!AF24</f>
        <v>0.61477537681671102</v>
      </c>
      <c r="K137" s="737"/>
      <c r="P137" s="737"/>
      <c r="Q137" s="737"/>
      <c r="R137" s="737"/>
      <c r="S137" s="738"/>
      <c r="V137" s="737"/>
      <c r="W137" s="737"/>
      <c r="X137" s="737"/>
      <c r="Y137" s="737"/>
      <c r="Z137" s="737"/>
      <c r="AA137" s="737"/>
      <c r="AB137" s="737"/>
      <c r="AC137" s="739"/>
    </row>
    <row r="138" spans="2:29" x14ac:dyDescent="0.15">
      <c r="B138" s="768" t="s">
        <v>166</v>
      </c>
      <c r="C138" s="799"/>
      <c r="D138" s="800"/>
      <c r="E138" s="800"/>
      <c r="F138" s="800"/>
      <c r="G138" s="800"/>
      <c r="H138" s="800"/>
      <c r="I138" s="800"/>
      <c r="J138" s="755"/>
      <c r="K138" s="737"/>
      <c r="P138" s="737"/>
      <c r="Q138" s="737"/>
      <c r="R138" s="737"/>
      <c r="S138" s="738"/>
      <c r="V138" s="737"/>
      <c r="W138" s="737"/>
      <c r="X138" s="737"/>
      <c r="Y138" s="737"/>
      <c r="Z138" s="737"/>
      <c r="AA138" s="737"/>
      <c r="AB138" s="737"/>
      <c r="AC138" s="739"/>
    </row>
    <row r="139" spans="2:29" x14ac:dyDescent="0.15">
      <c r="B139" s="744" t="s">
        <v>135</v>
      </c>
      <c r="C139" s="801">
        <v>0.44143947204032929</v>
      </c>
      <c r="D139" s="802">
        <v>0.41103752348535244</v>
      </c>
      <c r="E139" s="802">
        <v>0.39641344347740648</v>
      </c>
      <c r="F139" s="802">
        <v>0.43775908385103274</v>
      </c>
      <c r="G139" s="802">
        <v>0.40306590304163564</v>
      </c>
      <c r="H139" s="802">
        <v>0.34479900705535677</v>
      </c>
      <c r="I139" s="802">
        <v>0.3</v>
      </c>
      <c r="J139" s="803">
        <f>+Operational!AF26</f>
        <v>0.28888310868721673</v>
      </c>
      <c r="K139" s="737"/>
      <c r="P139" s="737"/>
      <c r="Q139" s="737"/>
      <c r="R139" s="737"/>
      <c r="S139" s="738"/>
      <c r="V139" s="737"/>
      <c r="W139" s="737"/>
      <c r="X139" s="737"/>
      <c r="Y139" s="737"/>
      <c r="Z139" s="737"/>
      <c r="AA139" s="737"/>
      <c r="AB139" s="737"/>
      <c r="AC139" s="739"/>
    </row>
    <row r="140" spans="2:29" x14ac:dyDescent="0.15">
      <c r="B140" s="806" t="s">
        <v>151</v>
      </c>
      <c r="C140" s="807">
        <v>0.55856052795967082</v>
      </c>
      <c r="D140" s="808">
        <v>0.58896247651464761</v>
      </c>
      <c r="E140" s="808">
        <v>0.60358655652259352</v>
      </c>
      <c r="F140" s="808">
        <v>0.56224091614896721</v>
      </c>
      <c r="G140" s="808">
        <v>0.59693409695836441</v>
      </c>
      <c r="H140" s="808">
        <v>0.65520099294464329</v>
      </c>
      <c r="I140" s="808">
        <v>0.7</v>
      </c>
      <c r="J140" s="809">
        <f>+Operational!AF27</f>
        <v>0.71111689131278322</v>
      </c>
      <c r="K140" s="737"/>
      <c r="P140" s="737"/>
      <c r="Q140" s="737"/>
      <c r="R140" s="737"/>
      <c r="S140" s="738"/>
      <c r="V140" s="737"/>
      <c r="W140" s="737"/>
      <c r="X140" s="737"/>
      <c r="Y140" s="737"/>
      <c r="Z140" s="737"/>
      <c r="AA140" s="737"/>
      <c r="AB140" s="737"/>
      <c r="AC140" s="739"/>
    </row>
    <row r="141" spans="2:29" x14ac:dyDescent="0.15">
      <c r="B141" s="768" t="s">
        <v>275</v>
      </c>
      <c r="C141" s="799"/>
      <c r="D141" s="800"/>
      <c r="E141" s="800"/>
      <c r="F141" s="800"/>
      <c r="G141" s="800"/>
      <c r="H141" s="800"/>
      <c r="I141" s="800"/>
      <c r="J141" s="755"/>
      <c r="K141" s="737"/>
      <c r="P141" s="737"/>
      <c r="Q141" s="737"/>
      <c r="R141" s="737"/>
      <c r="S141" s="738"/>
      <c r="V141" s="737"/>
      <c r="W141" s="737"/>
      <c r="X141" s="737"/>
      <c r="Y141" s="737"/>
      <c r="Z141" s="737"/>
      <c r="AA141" s="737"/>
      <c r="AB141" s="737"/>
      <c r="AC141" s="739"/>
    </row>
    <row r="142" spans="2:29" x14ac:dyDescent="0.15">
      <c r="B142" s="821" t="s">
        <v>276</v>
      </c>
      <c r="C142" s="822">
        <v>0</v>
      </c>
      <c r="D142" s="802">
        <v>0.18108037763888288</v>
      </c>
      <c r="E142" s="802">
        <v>0.12809654347643676</v>
      </c>
      <c r="F142" s="802">
        <v>0.18048059153895485</v>
      </c>
      <c r="G142" s="802">
        <v>0.19454185616090033</v>
      </c>
      <c r="H142" s="802">
        <v>0.17196959873128462</v>
      </c>
      <c r="I142" s="802">
        <v>0.17417768084830007</v>
      </c>
      <c r="J142" s="803">
        <f>+Operational!AF29</f>
        <v>0.18332623577779156</v>
      </c>
      <c r="K142" s="737"/>
      <c r="P142" s="737"/>
      <c r="Q142" s="737"/>
      <c r="R142" s="737"/>
      <c r="S142" s="738"/>
      <c r="V142" s="737"/>
      <c r="W142" s="737"/>
      <c r="X142" s="737"/>
      <c r="Y142" s="737"/>
      <c r="Z142" s="737"/>
      <c r="AA142" s="737"/>
      <c r="AB142" s="737"/>
      <c r="AC142" s="739"/>
    </row>
    <row r="143" spans="2:29" x14ac:dyDescent="0.15">
      <c r="B143" s="823" t="s">
        <v>277</v>
      </c>
      <c r="C143" s="824">
        <v>0</v>
      </c>
      <c r="D143" s="825">
        <v>0</v>
      </c>
      <c r="E143" s="808">
        <v>4.3488142233552331E-2</v>
      </c>
      <c r="F143" s="808">
        <v>5.8430441932602425E-2</v>
      </c>
      <c r="G143" s="808">
        <v>5.6461038597224483E-2</v>
      </c>
      <c r="H143" s="808">
        <v>6.0685827719674949E-2</v>
      </c>
      <c r="I143" s="808">
        <v>5.7464928419711854E-2</v>
      </c>
      <c r="J143" s="809">
        <f>+Operational!AF30</f>
        <v>5.5800000000000002E-2</v>
      </c>
      <c r="K143" s="737"/>
      <c r="P143" s="737"/>
      <c r="Q143" s="737"/>
      <c r="R143" s="737"/>
      <c r="S143" s="738"/>
      <c r="V143" s="737"/>
      <c r="W143" s="737"/>
      <c r="X143" s="737"/>
      <c r="Y143" s="737"/>
      <c r="Z143" s="737"/>
      <c r="AA143" s="737"/>
      <c r="AB143" s="737"/>
      <c r="AC143" s="739"/>
    </row>
    <row r="144" spans="2:29" x14ac:dyDescent="0.15">
      <c r="B144" s="813"/>
      <c r="C144" s="826"/>
      <c r="D144" s="826"/>
      <c r="E144" s="826"/>
      <c r="F144" s="737"/>
      <c r="G144" s="737"/>
      <c r="H144" s="737"/>
      <c r="I144" s="737"/>
      <c r="J144" s="737"/>
      <c r="K144" s="737"/>
      <c r="L144" s="737"/>
      <c r="M144" s="737"/>
      <c r="N144" s="737"/>
      <c r="O144" s="737"/>
      <c r="P144" s="737"/>
      <c r="Q144" s="737"/>
      <c r="R144" s="737"/>
      <c r="S144" s="738"/>
      <c r="V144" s="737"/>
      <c r="W144" s="737"/>
      <c r="X144" s="737"/>
      <c r="Y144" s="737"/>
      <c r="Z144" s="737"/>
      <c r="AA144" s="737"/>
      <c r="AB144" s="737"/>
      <c r="AC144" s="739"/>
    </row>
    <row r="145" spans="2:28" x14ac:dyDescent="0.15">
      <c r="B145" s="615" t="s">
        <v>259</v>
      </c>
    </row>
    <row r="146" spans="2:28" x14ac:dyDescent="0.15">
      <c r="B146" s="699" t="s">
        <v>35</v>
      </c>
      <c r="C146" s="827" t="str">
        <f t="shared" ref="C146:K146" si="0">C4</f>
        <v>Q1FY24</v>
      </c>
      <c r="D146" s="828" t="str">
        <f t="shared" si="0"/>
        <v>Q2FY24</v>
      </c>
      <c r="E146" s="828" t="str">
        <f t="shared" si="0"/>
        <v>Q3FY24</v>
      </c>
      <c r="F146" s="743" t="str">
        <f t="shared" si="0"/>
        <v>Q4FY24</v>
      </c>
      <c r="G146" s="828" t="str">
        <f t="shared" si="0"/>
        <v>Q1FY25</v>
      </c>
      <c r="H146" s="828" t="str">
        <f t="shared" si="0"/>
        <v>Q2FY25</v>
      </c>
      <c r="I146" s="828" t="str">
        <f t="shared" si="0"/>
        <v>Q3FY25</v>
      </c>
      <c r="J146" s="828" t="str">
        <f t="shared" si="0"/>
        <v>Q4FY25</v>
      </c>
      <c r="K146" s="827" t="str">
        <f t="shared" si="0"/>
        <v>Q1FY26</v>
      </c>
      <c r="L146" s="828" t="s">
        <v>271</v>
      </c>
      <c r="M146" s="828" t="str">
        <f>M45</f>
        <v>Q3FY26</v>
      </c>
      <c r="N146" s="743" t="str">
        <f>N45</f>
        <v>Q4FY26</v>
      </c>
      <c r="O146" s="743" t="str">
        <f>O45</f>
        <v>Q1FY27</v>
      </c>
      <c r="P146" s="610"/>
      <c r="Q146" s="613"/>
      <c r="R146" s="610"/>
      <c r="U146" s="610"/>
      <c r="V146" s="610"/>
      <c r="W146" s="610"/>
      <c r="X146" s="610"/>
      <c r="Y146" s="610"/>
      <c r="Z146" s="610"/>
      <c r="AA146" s="610"/>
      <c r="AB146" s="610"/>
    </row>
    <row r="147" spans="2:28" x14ac:dyDescent="0.15">
      <c r="B147" s="744" t="s">
        <v>36</v>
      </c>
      <c r="C147" s="829">
        <v>0.36839163534212543</v>
      </c>
      <c r="D147" s="794">
        <v>0.36045913821234832</v>
      </c>
      <c r="E147" s="794">
        <v>0.35357915253020655</v>
      </c>
      <c r="F147" s="775">
        <v>0.34486316426349378</v>
      </c>
      <c r="G147" s="794">
        <v>0.34080565922590927</v>
      </c>
      <c r="H147" s="794">
        <v>0.33756385125110505</v>
      </c>
      <c r="I147" s="794">
        <v>0.33400000000000002</v>
      </c>
      <c r="J147" s="794">
        <v>0.33097406585054601</v>
      </c>
      <c r="K147" s="772">
        <v>0.33073284570172179</v>
      </c>
      <c r="L147" s="773">
        <v>0.32973154715062603</v>
      </c>
      <c r="M147" s="773">
        <v>0.33005564098140666</v>
      </c>
      <c r="N147" s="774">
        <f>+Operational!V33</f>
        <v>0.33</v>
      </c>
      <c r="O147" s="774">
        <f>+Operational!W33</f>
        <v>0.33100000000000002</v>
      </c>
      <c r="P147" s="610"/>
      <c r="Q147" s="613"/>
      <c r="R147" s="610"/>
      <c r="U147" s="610"/>
      <c r="V147" s="610"/>
      <c r="W147" s="610"/>
      <c r="X147" s="610"/>
      <c r="Y147" s="610"/>
      <c r="Z147" s="610"/>
      <c r="AA147" s="610"/>
      <c r="AB147" s="610"/>
    </row>
    <row r="148" spans="2:28" x14ac:dyDescent="0.15">
      <c r="B148" s="748" t="s">
        <v>37</v>
      </c>
      <c r="C148" s="772">
        <v>0.17625648378497691</v>
      </c>
      <c r="D148" s="773">
        <v>0.18205128456178557</v>
      </c>
      <c r="E148" s="773">
        <v>0.1865820879373353</v>
      </c>
      <c r="F148" s="774">
        <v>0.194048634374761</v>
      </c>
      <c r="G148" s="773">
        <v>0.19594751259088439</v>
      </c>
      <c r="H148" s="773">
        <v>0.19612928894059262</v>
      </c>
      <c r="I148" s="773">
        <v>0.19900000000000001</v>
      </c>
      <c r="J148" s="773">
        <v>0.19956288338300601</v>
      </c>
      <c r="K148" s="772">
        <v>0.19737026090059162</v>
      </c>
      <c r="L148" s="773">
        <v>0.19639613682505389</v>
      </c>
      <c r="M148" s="773">
        <v>0.19549870588296572</v>
      </c>
      <c r="N148" s="774">
        <f>+Operational!V34</f>
        <v>0.19400000000000001</v>
      </c>
      <c r="O148" s="774">
        <f>+Operational!W34</f>
        <v>0.19400000000000001</v>
      </c>
      <c r="P148" s="610"/>
      <c r="Q148" s="613"/>
      <c r="R148" s="610"/>
      <c r="U148" s="610"/>
      <c r="V148" s="610"/>
      <c r="W148" s="610"/>
      <c r="X148" s="610"/>
      <c r="Y148" s="610"/>
      <c r="Z148" s="610"/>
      <c r="AA148" s="610"/>
      <c r="AB148" s="610"/>
    </row>
    <row r="149" spans="2:28" x14ac:dyDescent="0.15">
      <c r="B149" s="748" t="s">
        <v>40</v>
      </c>
      <c r="C149" s="772">
        <v>0.13482974076685114</v>
      </c>
      <c r="D149" s="773">
        <v>0.13297644841962836</v>
      </c>
      <c r="E149" s="773">
        <v>0.13107257712347878</v>
      </c>
      <c r="F149" s="774">
        <v>0.12852014531872838</v>
      </c>
      <c r="G149" s="773">
        <v>0.1279818014105856</v>
      </c>
      <c r="H149" s="773">
        <v>0.12749376359250822</v>
      </c>
      <c r="I149" s="773">
        <v>0.125</v>
      </c>
      <c r="J149" s="773">
        <v>0.122662483876244</v>
      </c>
      <c r="K149" s="772">
        <v>0.12141930693308002</v>
      </c>
      <c r="L149" s="773">
        <v>0.11976939504892764</v>
      </c>
      <c r="M149" s="773">
        <v>0.11819231446515492</v>
      </c>
      <c r="N149" s="774">
        <f>+Operational!V35</f>
        <v>0.11700000000000001</v>
      </c>
      <c r="O149" s="774">
        <f>+Operational!W35</f>
        <v>0.11600000000000001</v>
      </c>
      <c r="P149" s="610"/>
      <c r="Q149" s="613"/>
      <c r="R149" s="610"/>
      <c r="U149" s="610"/>
      <c r="V149" s="610"/>
      <c r="W149" s="610"/>
      <c r="X149" s="610"/>
      <c r="Y149" s="610"/>
      <c r="Z149" s="610"/>
      <c r="AA149" s="610"/>
      <c r="AB149" s="610"/>
    </row>
    <row r="150" spans="2:28" x14ac:dyDescent="0.15">
      <c r="B150" s="748" t="s">
        <v>38</v>
      </c>
      <c r="C150" s="772">
        <v>0.12859915429859289</v>
      </c>
      <c r="D150" s="773">
        <v>0.12775711723158528</v>
      </c>
      <c r="E150" s="773">
        <v>0.12734025435256216</v>
      </c>
      <c r="F150" s="774">
        <v>0.12621474810916997</v>
      </c>
      <c r="G150" s="773">
        <v>0.12543987381028016</v>
      </c>
      <c r="H150" s="773">
        <v>0.1245159330971034</v>
      </c>
      <c r="I150" s="773">
        <v>0.123</v>
      </c>
      <c r="J150" s="773">
        <v>0.122197747522304</v>
      </c>
      <c r="K150" s="772">
        <v>0.12205576744118768</v>
      </c>
      <c r="L150" s="773">
        <v>0.12127291478203409</v>
      </c>
      <c r="M150" s="773">
        <v>0.11961443031068024</v>
      </c>
      <c r="N150" s="774">
        <f>+Operational!V36</f>
        <v>0.11899999999999999</v>
      </c>
      <c r="O150" s="774">
        <f>+Operational!W36</f>
        <v>0.11799999999999999</v>
      </c>
      <c r="P150" s="610"/>
      <c r="Q150" s="613"/>
      <c r="R150" s="610"/>
      <c r="U150" s="610"/>
      <c r="V150" s="610"/>
      <c r="W150" s="610"/>
      <c r="X150" s="610"/>
      <c r="Y150" s="610"/>
      <c r="Z150" s="610"/>
      <c r="AA150" s="610"/>
      <c r="AB150" s="610"/>
    </row>
    <row r="151" spans="2:28" x14ac:dyDescent="0.15">
      <c r="B151" s="748" t="s">
        <v>43</v>
      </c>
      <c r="C151" s="772">
        <v>5.6996985790929225E-2</v>
      </c>
      <c r="D151" s="773">
        <v>5.7378937248293523E-2</v>
      </c>
      <c r="E151" s="773">
        <v>5.7280804931297169E-2</v>
      </c>
      <c r="F151" s="774">
        <v>5.6831744822997521E-2</v>
      </c>
      <c r="G151" s="773">
        <v>5.5733480827684159E-2</v>
      </c>
      <c r="H151" s="773">
        <v>5.5686954723406179E-2</v>
      </c>
      <c r="I151" s="773">
        <v>5.5E-2</v>
      </c>
      <c r="J151" s="773">
        <v>5.5035264135771603E-2</v>
      </c>
      <c r="K151" s="772">
        <v>5.4783820402416625E-2</v>
      </c>
      <c r="L151" s="773">
        <v>5.4799602887412084E-2</v>
      </c>
      <c r="M151" s="773">
        <v>5.4875819566333563E-2</v>
      </c>
      <c r="N151" s="774">
        <f>+Operational!V37</f>
        <v>5.3999999999999999E-2</v>
      </c>
      <c r="O151" s="774">
        <f>+Operational!W37</f>
        <v>5.0999999999999997E-2</v>
      </c>
      <c r="P151" s="610"/>
      <c r="Q151" s="613"/>
      <c r="R151" s="610"/>
      <c r="U151" s="610"/>
      <c r="V151" s="610"/>
      <c r="W151" s="610"/>
      <c r="X151" s="610"/>
      <c r="Y151" s="610"/>
      <c r="Z151" s="610"/>
      <c r="AA151" s="610"/>
      <c r="AB151" s="610"/>
    </row>
    <row r="152" spans="2:28" x14ac:dyDescent="0.15">
      <c r="B152" s="748" t="s">
        <v>41</v>
      </c>
      <c r="C152" s="772">
        <v>4.8414009693790054E-2</v>
      </c>
      <c r="D152" s="773">
        <v>4.9326197265273132E-2</v>
      </c>
      <c r="E152" s="773">
        <v>4.9929698900794968E-2</v>
      </c>
      <c r="F152" s="774">
        <v>5.0265062001344271E-2</v>
      </c>
      <c r="G152" s="773">
        <v>5.0727365072423321E-2</v>
      </c>
      <c r="H152" s="773">
        <v>5.1544581051430116E-2</v>
      </c>
      <c r="I152" s="773">
        <v>5.2999999999999999E-2</v>
      </c>
      <c r="J152" s="773">
        <v>5.4830074955264797E-2</v>
      </c>
      <c r="K152" s="772">
        <v>5.6177283181531069E-2</v>
      </c>
      <c r="L152" s="773">
        <v>5.7240220745834951E-2</v>
      </c>
      <c r="M152" s="773">
        <v>5.8693618210518668E-2</v>
      </c>
      <c r="N152" s="774">
        <f>+Operational!V38</f>
        <v>0.06</v>
      </c>
      <c r="O152" s="774">
        <f>+Operational!W38</f>
        <v>6.0999999999999999E-2</v>
      </c>
      <c r="P152" s="610"/>
      <c r="Q152" s="613"/>
      <c r="R152" s="610"/>
      <c r="U152" s="610"/>
      <c r="V152" s="610"/>
      <c r="W152" s="610"/>
      <c r="X152" s="610"/>
      <c r="Y152" s="610"/>
      <c r="Z152" s="610"/>
      <c r="AA152" s="610"/>
      <c r="AB152" s="610"/>
    </row>
    <row r="153" spans="2:28" x14ac:dyDescent="0.15">
      <c r="B153" s="748" t="s">
        <v>44</v>
      </c>
      <c r="C153" s="772">
        <v>3.5999999999999997E-2</v>
      </c>
      <c r="D153" s="773">
        <v>3.5999999999999997E-2</v>
      </c>
      <c r="E153" s="773">
        <v>3.6999999999999998E-2</v>
      </c>
      <c r="F153" s="774">
        <v>3.9E-2</v>
      </c>
      <c r="G153" s="773">
        <v>0.04</v>
      </c>
      <c r="H153" s="773">
        <v>4.1000000000000002E-2</v>
      </c>
      <c r="I153" s="773">
        <v>4.2999999999999997E-2</v>
      </c>
      <c r="J153" s="773">
        <v>4.4980504579293597E-2</v>
      </c>
      <c r="K153" s="772">
        <v>4.6196425213479463E-2</v>
      </c>
      <c r="L153" s="773">
        <v>4.7571530419461848E-2</v>
      </c>
      <c r="M153" s="773">
        <v>4.8480743478434819E-2</v>
      </c>
      <c r="N153" s="774">
        <f>+Operational!V39</f>
        <v>0.05</v>
      </c>
      <c r="O153" s="774">
        <f>+Operational!W39</f>
        <v>0.05</v>
      </c>
      <c r="P153" s="610"/>
      <c r="Q153" s="613"/>
      <c r="R153" s="610"/>
      <c r="U153" s="610"/>
      <c r="V153" s="610"/>
      <c r="W153" s="610"/>
      <c r="X153" s="610"/>
      <c r="Y153" s="610"/>
      <c r="Z153" s="610"/>
      <c r="AA153" s="610"/>
      <c r="AB153" s="610"/>
    </row>
    <row r="154" spans="2:28" x14ac:dyDescent="0.15">
      <c r="B154" s="748" t="s">
        <v>39</v>
      </c>
      <c r="C154" s="772">
        <v>1.5422469746744064E-2</v>
      </c>
      <c r="D154" s="773">
        <v>1.8360540287506232E-2</v>
      </c>
      <c r="E154" s="773">
        <v>2.1344245144726784E-2</v>
      </c>
      <c r="F154" s="774">
        <v>2.4703337043044688E-2</v>
      </c>
      <c r="G154" s="773">
        <v>2.7365458259587166E-2</v>
      </c>
      <c r="H154" s="773">
        <v>2.9420091151954594E-2</v>
      </c>
      <c r="I154" s="773">
        <v>3.1E-2</v>
      </c>
      <c r="J154" s="773">
        <v>3.2749956170807497E-2</v>
      </c>
      <c r="K154" s="772">
        <v>3.3819196998992267E-2</v>
      </c>
      <c r="L154" s="773">
        <v>3.5828789862672066E-2</v>
      </c>
      <c r="M154" s="773">
        <v>3.6864699694155005E-2</v>
      </c>
      <c r="N154" s="774">
        <f>+Operational!V40</f>
        <v>3.7999999999999999E-2</v>
      </c>
      <c r="O154" s="774">
        <f>+Operational!W40</f>
        <v>3.9E-2</v>
      </c>
      <c r="P154" s="610"/>
      <c r="Q154" s="613"/>
      <c r="R154" s="610"/>
      <c r="U154" s="610"/>
      <c r="V154" s="610"/>
      <c r="W154" s="610"/>
      <c r="X154" s="610"/>
      <c r="Y154" s="610"/>
      <c r="Z154" s="610"/>
      <c r="AA154" s="610"/>
      <c r="AB154" s="610"/>
    </row>
    <row r="155" spans="2:28" x14ac:dyDescent="0.15">
      <c r="B155" s="748" t="s">
        <v>157</v>
      </c>
      <c r="C155" s="772">
        <v>3.508952057599013E-2</v>
      </c>
      <c r="D155" s="773">
        <v>3.5690336773579578E-2</v>
      </c>
      <c r="E155" s="773">
        <v>3.5871179079598248E-2</v>
      </c>
      <c r="F155" s="774">
        <v>3.5553164066460252E-2</v>
      </c>
      <c r="G155" s="773">
        <v>3.5998848802645811E-2</v>
      </c>
      <c r="H155" s="773">
        <v>3.6645536191899808E-2</v>
      </c>
      <c r="I155" s="773">
        <v>3.6999999999999811E-2</v>
      </c>
      <c r="J155" s="773">
        <v>3.7007019526762441E-2</v>
      </c>
      <c r="K155" s="830">
        <v>3.7445093226999515E-2</v>
      </c>
      <c r="L155" s="796">
        <v>3.7389862277977692E-2</v>
      </c>
      <c r="M155" s="796">
        <v>3.7724027410350525E-2</v>
      </c>
      <c r="N155" s="831">
        <f>+Operational!V41</f>
        <v>3.7999999999999812E-2</v>
      </c>
      <c r="O155" s="831">
        <f>+Operational!W41</f>
        <v>3.9999999999999925E-2</v>
      </c>
      <c r="P155" s="610"/>
      <c r="Q155" s="613"/>
      <c r="R155" s="610"/>
      <c r="U155" s="610"/>
      <c r="V155" s="610"/>
      <c r="W155" s="610"/>
      <c r="X155" s="610"/>
      <c r="Y155" s="610"/>
      <c r="Z155" s="610"/>
      <c r="AA155" s="610"/>
      <c r="AB155" s="610"/>
    </row>
    <row r="156" spans="2:28" x14ac:dyDescent="0.15">
      <c r="B156" s="832" t="s">
        <v>24</v>
      </c>
      <c r="C156" s="833">
        <v>1</v>
      </c>
      <c r="D156" s="834">
        <v>0.99999999999999989</v>
      </c>
      <c r="E156" s="834">
        <v>1.0000000000000002</v>
      </c>
      <c r="F156" s="835">
        <v>1</v>
      </c>
      <c r="G156" s="834">
        <v>1.0000000000000002</v>
      </c>
      <c r="H156" s="834">
        <v>1</v>
      </c>
      <c r="I156" s="834">
        <v>1</v>
      </c>
      <c r="J156" s="834">
        <v>1</v>
      </c>
      <c r="K156" s="836">
        <v>1</v>
      </c>
      <c r="L156" s="837">
        <v>1</v>
      </c>
      <c r="M156" s="837">
        <v>1</v>
      </c>
      <c r="N156" s="838">
        <f>+Operational!V42</f>
        <v>1</v>
      </c>
      <c r="O156" s="838">
        <f>+Operational!W42</f>
        <v>1</v>
      </c>
      <c r="P156" s="610"/>
      <c r="Q156" s="613"/>
      <c r="R156" s="610"/>
      <c r="U156" s="610"/>
      <c r="V156" s="610"/>
      <c r="W156" s="610"/>
      <c r="X156" s="610"/>
      <c r="Y156" s="610"/>
      <c r="Z156" s="610"/>
      <c r="AA156" s="610"/>
      <c r="AB156" s="610"/>
    </row>
    <row r="157" spans="2:28" x14ac:dyDescent="0.15">
      <c r="B157" s="839"/>
      <c r="C157" s="840"/>
      <c r="D157" s="840"/>
      <c r="E157" s="840"/>
      <c r="F157" s="840"/>
      <c r="G157" s="840"/>
      <c r="H157" s="840"/>
      <c r="I157" s="840"/>
      <c r="J157" s="840"/>
      <c r="K157" s="840"/>
      <c r="L157" s="840"/>
      <c r="M157" s="840"/>
      <c r="N157" s="841"/>
      <c r="O157" s="841"/>
      <c r="P157" s="610"/>
      <c r="Q157" s="613"/>
      <c r="R157" s="610"/>
      <c r="U157" s="610"/>
      <c r="V157" s="610"/>
      <c r="W157" s="610"/>
      <c r="X157" s="610"/>
      <c r="Y157" s="610"/>
      <c r="Z157" s="610"/>
      <c r="AA157" s="610"/>
      <c r="AB157" s="610"/>
    </row>
    <row r="158" spans="2:28" s="611" customFormat="1" x14ac:dyDescent="0.15">
      <c r="B158" s="842" t="s">
        <v>48</v>
      </c>
      <c r="C158" s="843" t="str">
        <f>C146</f>
        <v>Q1FY24</v>
      </c>
      <c r="D158" s="844" t="str">
        <f t="shared" ref="D158:K158" si="1">D146</f>
        <v>Q2FY24</v>
      </c>
      <c r="E158" s="844" t="str">
        <f t="shared" si="1"/>
        <v>Q3FY24</v>
      </c>
      <c r="F158" s="845" t="str">
        <f t="shared" si="1"/>
        <v>Q4FY24</v>
      </c>
      <c r="G158" s="844" t="str">
        <f t="shared" si="1"/>
        <v>Q1FY25</v>
      </c>
      <c r="H158" s="844" t="str">
        <f t="shared" si="1"/>
        <v>Q2FY25</v>
      </c>
      <c r="I158" s="844" t="str">
        <f t="shared" si="1"/>
        <v>Q3FY25</v>
      </c>
      <c r="J158" s="844" t="str">
        <f t="shared" si="1"/>
        <v>Q4FY25</v>
      </c>
      <c r="K158" s="846" t="str">
        <f t="shared" si="1"/>
        <v>Q1FY26</v>
      </c>
      <c r="L158" s="847" t="s">
        <v>271</v>
      </c>
      <c r="M158" s="847" t="str">
        <f>M146</f>
        <v>Q3FY26</v>
      </c>
      <c r="N158" s="848" t="str">
        <f>N146</f>
        <v>Q4FY26</v>
      </c>
      <c r="O158" s="848" t="str">
        <f>O146</f>
        <v>Q1FY27</v>
      </c>
      <c r="P158" s="849"/>
      <c r="Q158" s="850"/>
    </row>
    <row r="159" spans="2:28" x14ac:dyDescent="0.15">
      <c r="B159" s="744" t="s">
        <v>36</v>
      </c>
      <c r="C159" s="745">
        <v>102</v>
      </c>
      <c r="D159" s="851">
        <v>102</v>
      </c>
      <c r="E159" s="851">
        <v>103</v>
      </c>
      <c r="F159" s="747">
        <v>108</v>
      </c>
      <c r="G159" s="746">
        <v>109</v>
      </c>
      <c r="H159" s="746">
        <v>109</v>
      </c>
      <c r="I159" s="746">
        <v>109</v>
      </c>
      <c r="J159" s="746">
        <v>109</v>
      </c>
      <c r="K159" s="745">
        <v>109</v>
      </c>
      <c r="L159" s="746">
        <v>109</v>
      </c>
      <c r="M159" s="746">
        <v>108</v>
      </c>
      <c r="N159" s="747">
        <f>+Operational!V45</f>
        <v>111</v>
      </c>
      <c r="O159" s="747">
        <f>+Operational!W45</f>
        <v>110</v>
      </c>
      <c r="P159" s="610"/>
      <c r="Q159" s="613"/>
      <c r="R159" s="610"/>
      <c r="U159" s="610"/>
      <c r="V159" s="610"/>
      <c r="W159" s="610"/>
      <c r="X159" s="610"/>
      <c r="Y159" s="610"/>
      <c r="Z159" s="610"/>
      <c r="AA159" s="610"/>
      <c r="AB159" s="610"/>
    </row>
    <row r="160" spans="2:28" x14ac:dyDescent="0.15">
      <c r="B160" s="748" t="s">
        <v>37</v>
      </c>
      <c r="C160" s="705">
        <v>48</v>
      </c>
      <c r="D160" s="670">
        <v>48</v>
      </c>
      <c r="E160" s="670">
        <v>48</v>
      </c>
      <c r="F160" s="707">
        <v>49</v>
      </c>
      <c r="G160" s="706">
        <v>49</v>
      </c>
      <c r="H160" s="706">
        <v>49</v>
      </c>
      <c r="I160" s="706">
        <v>50</v>
      </c>
      <c r="J160" s="706">
        <v>51</v>
      </c>
      <c r="K160" s="705">
        <v>51</v>
      </c>
      <c r="L160" s="706">
        <v>51</v>
      </c>
      <c r="M160" s="706">
        <v>50</v>
      </c>
      <c r="N160" s="707">
        <f>+Operational!V46</f>
        <v>50</v>
      </c>
      <c r="O160" s="707">
        <f>+Operational!W46</f>
        <v>50</v>
      </c>
      <c r="P160" s="610"/>
      <c r="Q160" s="613"/>
      <c r="R160" s="610"/>
      <c r="U160" s="610"/>
      <c r="V160" s="610"/>
      <c r="W160" s="610"/>
      <c r="X160" s="610"/>
      <c r="Y160" s="610"/>
      <c r="Z160" s="610"/>
      <c r="AA160" s="610"/>
      <c r="AB160" s="610"/>
    </row>
    <row r="161" spans="2:28" x14ac:dyDescent="0.15">
      <c r="B161" s="748" t="s">
        <v>40</v>
      </c>
      <c r="C161" s="705">
        <v>44</v>
      </c>
      <c r="D161" s="670">
        <v>44</v>
      </c>
      <c r="E161" s="670">
        <v>44</v>
      </c>
      <c r="F161" s="707">
        <v>45</v>
      </c>
      <c r="G161" s="706">
        <v>45</v>
      </c>
      <c r="H161" s="706">
        <v>45</v>
      </c>
      <c r="I161" s="706">
        <v>45</v>
      </c>
      <c r="J161" s="706">
        <v>46</v>
      </c>
      <c r="K161" s="705">
        <v>46</v>
      </c>
      <c r="L161" s="706">
        <v>46</v>
      </c>
      <c r="M161" s="706">
        <v>45</v>
      </c>
      <c r="N161" s="707">
        <f>+Operational!V47</f>
        <v>55</v>
      </c>
      <c r="O161" s="707">
        <f>+Operational!W47</f>
        <v>57</v>
      </c>
      <c r="P161" s="610"/>
      <c r="Q161" s="613"/>
      <c r="R161" s="610"/>
      <c r="U161" s="610"/>
      <c r="V161" s="610"/>
      <c r="W161" s="610"/>
      <c r="X161" s="610"/>
      <c r="Y161" s="610"/>
      <c r="Z161" s="610"/>
      <c r="AA161" s="610"/>
      <c r="AB161" s="610"/>
    </row>
    <row r="162" spans="2:28" x14ac:dyDescent="0.15">
      <c r="B162" s="748" t="s">
        <v>38</v>
      </c>
      <c r="C162" s="705">
        <v>49</v>
      </c>
      <c r="D162" s="670">
        <v>49</v>
      </c>
      <c r="E162" s="670">
        <v>49</v>
      </c>
      <c r="F162" s="707">
        <v>51</v>
      </c>
      <c r="G162" s="706">
        <v>51</v>
      </c>
      <c r="H162" s="706">
        <v>51</v>
      </c>
      <c r="I162" s="706">
        <v>51</v>
      </c>
      <c r="J162" s="706">
        <v>55</v>
      </c>
      <c r="K162" s="705">
        <v>55</v>
      </c>
      <c r="L162" s="706">
        <v>55</v>
      </c>
      <c r="M162" s="706">
        <v>55</v>
      </c>
      <c r="N162" s="707">
        <f>+Operational!V48</f>
        <v>55</v>
      </c>
      <c r="O162" s="707">
        <f>+Operational!W48</f>
        <v>55</v>
      </c>
      <c r="P162" s="610"/>
      <c r="Q162" s="613"/>
      <c r="R162" s="610"/>
      <c r="U162" s="610"/>
      <c r="V162" s="610"/>
      <c r="W162" s="610"/>
      <c r="X162" s="610"/>
      <c r="Y162" s="610"/>
      <c r="Z162" s="610"/>
      <c r="AA162" s="610"/>
      <c r="AB162" s="610"/>
    </row>
    <row r="163" spans="2:28" x14ac:dyDescent="0.15">
      <c r="B163" s="748" t="s">
        <v>43</v>
      </c>
      <c r="C163" s="705">
        <v>5</v>
      </c>
      <c r="D163" s="670">
        <v>5</v>
      </c>
      <c r="E163" s="670">
        <v>5</v>
      </c>
      <c r="F163" s="707">
        <v>5</v>
      </c>
      <c r="G163" s="706">
        <v>5</v>
      </c>
      <c r="H163" s="706">
        <v>5</v>
      </c>
      <c r="I163" s="706">
        <v>5</v>
      </c>
      <c r="J163" s="706">
        <v>5</v>
      </c>
      <c r="K163" s="705">
        <v>5</v>
      </c>
      <c r="L163" s="706">
        <v>5</v>
      </c>
      <c r="M163" s="706">
        <v>5</v>
      </c>
      <c r="N163" s="707">
        <f>+Operational!V49</f>
        <v>5</v>
      </c>
      <c r="O163" s="707">
        <f>+Operational!W49</f>
        <v>5</v>
      </c>
      <c r="P163" s="610"/>
      <c r="Q163" s="613"/>
      <c r="R163" s="610"/>
      <c r="U163" s="610"/>
      <c r="V163" s="610"/>
      <c r="W163" s="610"/>
      <c r="X163" s="610"/>
      <c r="Y163" s="610"/>
      <c r="Z163" s="610"/>
      <c r="AA163" s="610"/>
      <c r="AB163" s="610"/>
    </row>
    <row r="164" spans="2:28" x14ac:dyDescent="0.15">
      <c r="B164" s="748" t="s">
        <v>44</v>
      </c>
      <c r="C164" s="705">
        <v>17</v>
      </c>
      <c r="D164" s="670">
        <v>17</v>
      </c>
      <c r="E164" s="670">
        <v>17</v>
      </c>
      <c r="F164" s="707">
        <v>18</v>
      </c>
      <c r="G164" s="706">
        <v>18</v>
      </c>
      <c r="H164" s="706">
        <v>18</v>
      </c>
      <c r="I164" s="706">
        <v>18</v>
      </c>
      <c r="J164" s="706">
        <v>20</v>
      </c>
      <c r="K164" s="705">
        <v>20</v>
      </c>
      <c r="L164" s="706">
        <v>20</v>
      </c>
      <c r="M164" s="706">
        <v>20</v>
      </c>
      <c r="N164" s="707">
        <f>+Operational!V50</f>
        <v>20</v>
      </c>
      <c r="O164" s="707">
        <f>+Operational!W50</f>
        <v>20</v>
      </c>
      <c r="P164" s="610"/>
      <c r="Q164" s="613"/>
      <c r="R164" s="610"/>
      <c r="U164" s="610"/>
      <c r="V164" s="610"/>
      <c r="W164" s="610"/>
      <c r="X164" s="610"/>
      <c r="Y164" s="610"/>
      <c r="Z164" s="610"/>
      <c r="AA164" s="610"/>
      <c r="AB164" s="610"/>
    </row>
    <row r="165" spans="2:28" x14ac:dyDescent="0.15">
      <c r="B165" s="748" t="s">
        <v>41</v>
      </c>
      <c r="C165" s="705">
        <v>28</v>
      </c>
      <c r="D165" s="670">
        <v>30</v>
      </c>
      <c r="E165" s="670">
        <v>30</v>
      </c>
      <c r="F165" s="707">
        <v>32</v>
      </c>
      <c r="G165" s="706">
        <v>33</v>
      </c>
      <c r="H165" s="706">
        <v>33</v>
      </c>
      <c r="I165" s="706">
        <v>33</v>
      </c>
      <c r="J165" s="706">
        <v>39</v>
      </c>
      <c r="K165" s="705">
        <v>39</v>
      </c>
      <c r="L165" s="706">
        <v>39</v>
      </c>
      <c r="M165" s="706">
        <v>39</v>
      </c>
      <c r="N165" s="707">
        <f>+Operational!V51</f>
        <v>48</v>
      </c>
      <c r="O165" s="707">
        <f>+Operational!W51</f>
        <v>51</v>
      </c>
      <c r="P165" s="610"/>
      <c r="Q165" s="613"/>
      <c r="R165" s="610"/>
      <c r="U165" s="610"/>
      <c r="V165" s="610"/>
      <c r="W165" s="610"/>
      <c r="X165" s="610"/>
      <c r="Y165" s="610"/>
      <c r="Z165" s="610"/>
      <c r="AA165" s="610"/>
      <c r="AB165" s="610"/>
    </row>
    <row r="166" spans="2:28" x14ac:dyDescent="0.15">
      <c r="B166" s="748" t="s">
        <v>45</v>
      </c>
      <c r="C166" s="705">
        <v>9</v>
      </c>
      <c r="D166" s="670">
        <v>9</v>
      </c>
      <c r="E166" s="670">
        <v>9</v>
      </c>
      <c r="F166" s="707">
        <v>9</v>
      </c>
      <c r="G166" s="706">
        <v>9</v>
      </c>
      <c r="H166" s="706">
        <v>9</v>
      </c>
      <c r="I166" s="706">
        <v>9</v>
      </c>
      <c r="J166" s="706">
        <v>9</v>
      </c>
      <c r="K166" s="705">
        <v>9</v>
      </c>
      <c r="L166" s="706">
        <v>9</v>
      </c>
      <c r="M166" s="706">
        <v>9</v>
      </c>
      <c r="N166" s="707">
        <f>+Operational!V52</f>
        <v>9</v>
      </c>
      <c r="O166" s="707">
        <f>+Operational!W52</f>
        <v>9</v>
      </c>
      <c r="P166" s="610"/>
      <c r="Q166" s="613"/>
      <c r="R166" s="610"/>
      <c r="U166" s="610"/>
      <c r="V166" s="610"/>
      <c r="W166" s="610"/>
      <c r="X166" s="610"/>
      <c r="Y166" s="610"/>
      <c r="Z166" s="610"/>
      <c r="AA166" s="610"/>
      <c r="AB166" s="610"/>
    </row>
    <row r="167" spans="2:28" x14ac:dyDescent="0.15">
      <c r="B167" s="748" t="s">
        <v>46</v>
      </c>
      <c r="C167" s="705">
        <v>3</v>
      </c>
      <c r="D167" s="670">
        <v>3</v>
      </c>
      <c r="E167" s="670">
        <v>3</v>
      </c>
      <c r="F167" s="707">
        <v>5</v>
      </c>
      <c r="G167" s="706">
        <v>5</v>
      </c>
      <c r="H167" s="706">
        <v>5</v>
      </c>
      <c r="I167" s="706">
        <v>5</v>
      </c>
      <c r="J167" s="706">
        <v>5</v>
      </c>
      <c r="K167" s="705">
        <v>5</v>
      </c>
      <c r="L167" s="706">
        <v>5</v>
      </c>
      <c r="M167" s="706">
        <v>5</v>
      </c>
      <c r="N167" s="707">
        <f>+Operational!V53</f>
        <v>4</v>
      </c>
      <c r="O167" s="707">
        <f>+Operational!W53</f>
        <v>5</v>
      </c>
      <c r="P167" s="610"/>
      <c r="Q167" s="613"/>
      <c r="R167" s="610"/>
      <c r="U167" s="610"/>
      <c r="V167" s="610"/>
      <c r="W167" s="610"/>
      <c r="X167" s="610"/>
      <c r="Y167" s="610"/>
      <c r="Z167" s="610"/>
      <c r="AA167" s="610"/>
      <c r="AB167" s="610"/>
    </row>
    <row r="168" spans="2:28" x14ac:dyDescent="0.15">
      <c r="B168" s="748" t="s">
        <v>42</v>
      </c>
      <c r="C168" s="705">
        <v>9</v>
      </c>
      <c r="D168" s="670">
        <v>9</v>
      </c>
      <c r="E168" s="670">
        <v>9</v>
      </c>
      <c r="F168" s="707">
        <v>9</v>
      </c>
      <c r="G168" s="706">
        <v>9</v>
      </c>
      <c r="H168" s="706">
        <v>9</v>
      </c>
      <c r="I168" s="706">
        <v>9</v>
      </c>
      <c r="J168" s="706">
        <v>9</v>
      </c>
      <c r="K168" s="705">
        <v>9</v>
      </c>
      <c r="L168" s="706">
        <v>9</v>
      </c>
      <c r="M168" s="706">
        <v>9</v>
      </c>
      <c r="N168" s="707">
        <f>+Operational!V54</f>
        <v>9</v>
      </c>
      <c r="O168" s="707">
        <f>+Operational!W54</f>
        <v>9</v>
      </c>
      <c r="P168" s="610"/>
      <c r="Q168" s="613"/>
      <c r="R168" s="610"/>
      <c r="U168" s="610"/>
      <c r="V168" s="610"/>
      <c r="W168" s="610"/>
      <c r="X168" s="610"/>
      <c r="Y168" s="610"/>
      <c r="Z168" s="610"/>
      <c r="AA168" s="610"/>
      <c r="AB168" s="610"/>
    </row>
    <row r="169" spans="2:28" x14ac:dyDescent="0.15">
      <c r="B169" s="748" t="s">
        <v>116</v>
      </c>
      <c r="C169" s="705">
        <v>4</v>
      </c>
      <c r="D169" s="670">
        <v>4</v>
      </c>
      <c r="E169" s="670">
        <v>4</v>
      </c>
      <c r="F169" s="707">
        <v>4</v>
      </c>
      <c r="G169" s="706">
        <v>4</v>
      </c>
      <c r="H169" s="706">
        <v>4</v>
      </c>
      <c r="I169" s="706">
        <v>4</v>
      </c>
      <c r="J169" s="706">
        <v>4</v>
      </c>
      <c r="K169" s="705">
        <v>4</v>
      </c>
      <c r="L169" s="706">
        <v>4</v>
      </c>
      <c r="M169" s="706">
        <v>4</v>
      </c>
      <c r="N169" s="707">
        <f>+Operational!V55</f>
        <v>4</v>
      </c>
      <c r="O169" s="707">
        <f>+Operational!W55</f>
        <v>4</v>
      </c>
      <c r="P169" s="610"/>
      <c r="Q169" s="613"/>
      <c r="R169" s="610"/>
      <c r="U169" s="610"/>
      <c r="V169" s="610"/>
      <c r="W169" s="610"/>
      <c r="X169" s="610"/>
      <c r="Y169" s="610"/>
      <c r="Z169" s="610"/>
      <c r="AA169" s="610"/>
      <c r="AB169" s="610"/>
    </row>
    <row r="170" spans="2:28" x14ac:dyDescent="0.15">
      <c r="B170" s="748" t="s">
        <v>39</v>
      </c>
      <c r="C170" s="705">
        <v>24</v>
      </c>
      <c r="D170" s="670">
        <v>24</v>
      </c>
      <c r="E170" s="670">
        <v>24</v>
      </c>
      <c r="F170" s="707">
        <v>26</v>
      </c>
      <c r="G170" s="706">
        <v>28</v>
      </c>
      <c r="H170" s="706">
        <v>28</v>
      </c>
      <c r="I170" s="706">
        <v>28</v>
      </c>
      <c r="J170" s="706">
        <v>38</v>
      </c>
      <c r="K170" s="705">
        <v>38</v>
      </c>
      <c r="L170" s="706">
        <v>38</v>
      </c>
      <c r="M170" s="706">
        <v>38</v>
      </c>
      <c r="N170" s="707">
        <f>+Operational!V56</f>
        <v>38</v>
      </c>
      <c r="O170" s="707">
        <f>+Operational!W56</f>
        <v>38</v>
      </c>
      <c r="P170" s="610"/>
      <c r="Q170" s="613"/>
      <c r="R170" s="610"/>
      <c r="U170" s="610"/>
      <c r="V170" s="610"/>
      <c r="W170" s="610"/>
      <c r="X170" s="610"/>
      <c r="Y170" s="610"/>
      <c r="Z170" s="610"/>
      <c r="AA170" s="610"/>
      <c r="AB170" s="610"/>
    </row>
    <row r="171" spans="2:28" x14ac:dyDescent="0.15">
      <c r="B171" s="748" t="s">
        <v>47</v>
      </c>
      <c r="C171" s="705">
        <v>6</v>
      </c>
      <c r="D171" s="670">
        <v>6</v>
      </c>
      <c r="E171" s="670">
        <v>6</v>
      </c>
      <c r="F171" s="707">
        <v>6</v>
      </c>
      <c r="G171" s="706">
        <v>6</v>
      </c>
      <c r="H171" s="706">
        <v>6</v>
      </c>
      <c r="I171" s="706">
        <v>6</v>
      </c>
      <c r="J171" s="706">
        <v>6</v>
      </c>
      <c r="K171" s="705">
        <v>6</v>
      </c>
      <c r="L171" s="706">
        <v>6</v>
      </c>
      <c r="M171" s="706">
        <v>6</v>
      </c>
      <c r="N171" s="707">
        <f>+Operational!V57</f>
        <v>6</v>
      </c>
      <c r="O171" s="707">
        <f>+Operational!W57</f>
        <v>6</v>
      </c>
      <c r="P171" s="610"/>
      <c r="Q171" s="613"/>
      <c r="R171" s="610"/>
      <c r="U171" s="610"/>
      <c r="V171" s="610"/>
      <c r="W171" s="610"/>
      <c r="X171" s="610"/>
      <c r="Y171" s="610"/>
      <c r="Z171" s="610"/>
      <c r="AA171" s="610"/>
      <c r="AB171" s="610"/>
    </row>
    <row r="172" spans="2:28" x14ac:dyDescent="0.15">
      <c r="B172" s="748" t="s">
        <v>133</v>
      </c>
      <c r="C172" s="705">
        <v>0</v>
      </c>
      <c r="D172" s="706">
        <v>0</v>
      </c>
      <c r="E172" s="706">
        <v>0</v>
      </c>
      <c r="F172" s="707">
        <v>0</v>
      </c>
      <c r="G172" s="706">
        <v>0</v>
      </c>
      <c r="H172" s="706">
        <v>1</v>
      </c>
      <c r="I172" s="706">
        <v>1</v>
      </c>
      <c r="J172" s="706">
        <v>1</v>
      </c>
      <c r="K172" s="705">
        <v>1</v>
      </c>
      <c r="L172" s="706">
        <v>9</v>
      </c>
      <c r="M172" s="706">
        <v>10</v>
      </c>
      <c r="N172" s="707">
        <f>+Operational!V58</f>
        <v>20</v>
      </c>
      <c r="O172" s="707">
        <f>+Operational!W58</f>
        <v>20</v>
      </c>
      <c r="P172" s="610"/>
      <c r="Q172" s="613"/>
      <c r="R172" s="610"/>
      <c r="U172" s="610"/>
      <c r="V172" s="610"/>
      <c r="W172" s="610"/>
      <c r="X172" s="610"/>
      <c r="Y172" s="610"/>
      <c r="Z172" s="610"/>
      <c r="AA172" s="610"/>
      <c r="AB172" s="610"/>
    </row>
    <row r="173" spans="2:28" x14ac:dyDescent="0.15">
      <c r="B173" s="748" t="s">
        <v>279</v>
      </c>
      <c r="C173" s="705">
        <v>0</v>
      </c>
      <c r="D173" s="706">
        <v>0</v>
      </c>
      <c r="E173" s="706">
        <v>0</v>
      </c>
      <c r="F173" s="707">
        <v>0</v>
      </c>
      <c r="G173" s="706">
        <v>0</v>
      </c>
      <c r="H173" s="706">
        <v>0</v>
      </c>
      <c r="I173" s="706">
        <v>0</v>
      </c>
      <c r="J173" s="706">
        <v>0</v>
      </c>
      <c r="K173" s="852">
        <v>0</v>
      </c>
      <c r="L173" s="853">
        <v>0</v>
      </c>
      <c r="M173" s="853">
        <v>1</v>
      </c>
      <c r="N173" s="854">
        <f>+Operational!V59</f>
        <v>1</v>
      </c>
      <c r="O173" s="854">
        <f>+Operational!W59</f>
        <v>1</v>
      </c>
      <c r="P173" s="610"/>
      <c r="Q173" s="613"/>
      <c r="R173" s="610"/>
      <c r="U173" s="610"/>
      <c r="V173" s="610"/>
      <c r="W173" s="610"/>
      <c r="X173" s="610"/>
      <c r="Y173" s="610"/>
      <c r="Z173" s="610"/>
      <c r="AA173" s="610"/>
      <c r="AB173" s="610"/>
    </row>
    <row r="174" spans="2:28" x14ac:dyDescent="0.15">
      <c r="B174" s="768" t="s">
        <v>24</v>
      </c>
      <c r="C174" s="855">
        <v>348</v>
      </c>
      <c r="D174" s="856">
        <v>350</v>
      </c>
      <c r="E174" s="856">
        <v>351</v>
      </c>
      <c r="F174" s="857">
        <v>367</v>
      </c>
      <c r="G174" s="856">
        <v>371</v>
      </c>
      <c r="H174" s="856">
        <v>372</v>
      </c>
      <c r="I174" s="856">
        <v>373</v>
      </c>
      <c r="J174" s="856">
        <f>SUM(J159:J173)</f>
        <v>397</v>
      </c>
      <c r="K174" s="858">
        <f>SUM(K159:K173)</f>
        <v>397</v>
      </c>
      <c r="L174" s="859">
        <v>405</v>
      </c>
      <c r="M174" s="859">
        <v>404</v>
      </c>
      <c r="N174" s="860">
        <f>+Operational!V60</f>
        <v>435</v>
      </c>
      <c r="O174" s="860">
        <f>+Operational!W60</f>
        <v>440</v>
      </c>
      <c r="P174" s="610"/>
      <c r="Q174" s="613"/>
      <c r="R174" s="610"/>
      <c r="U174" s="610"/>
      <c r="V174" s="610"/>
      <c r="W174" s="610"/>
      <c r="X174" s="610"/>
      <c r="Y174" s="610"/>
      <c r="Z174" s="610"/>
      <c r="AA174" s="610"/>
      <c r="AB174" s="610"/>
    </row>
    <row r="175" spans="2:28" x14ac:dyDescent="0.15">
      <c r="H175" s="612"/>
      <c r="I175" s="612"/>
      <c r="J175" s="612"/>
      <c r="K175" s="861"/>
      <c r="L175" s="862"/>
      <c r="M175" s="862"/>
      <c r="N175" s="863"/>
      <c r="O175" s="863"/>
      <c r="P175" s="610"/>
      <c r="Q175" s="613"/>
      <c r="R175" s="610"/>
      <c r="U175" s="610"/>
      <c r="V175" s="610"/>
      <c r="W175" s="610"/>
      <c r="X175" s="610"/>
      <c r="Y175" s="610"/>
      <c r="Z175" s="610"/>
      <c r="AA175" s="610"/>
      <c r="AB175" s="610"/>
    </row>
    <row r="176" spans="2:28" x14ac:dyDescent="0.15">
      <c r="B176" s="864" t="s">
        <v>186</v>
      </c>
      <c r="C176" s="740" t="str">
        <f>C184</f>
        <v>Q1FY24</v>
      </c>
      <c r="D176" s="741" t="str">
        <f t="shared" ref="D176:K176" si="2">D184</f>
        <v>Q2FY24</v>
      </c>
      <c r="E176" s="741" t="str">
        <f t="shared" si="2"/>
        <v>Q3FY24</v>
      </c>
      <c r="F176" s="742" t="str">
        <f t="shared" si="2"/>
        <v>Q4FY24</v>
      </c>
      <c r="G176" s="741" t="str">
        <f t="shared" si="2"/>
        <v>Q1FY25</v>
      </c>
      <c r="H176" s="741" t="str">
        <f t="shared" si="2"/>
        <v>Q2FY25</v>
      </c>
      <c r="I176" s="741" t="str">
        <f t="shared" si="2"/>
        <v>Q3FY25</v>
      </c>
      <c r="J176" s="741" t="str">
        <f t="shared" si="2"/>
        <v>Q4FY25</v>
      </c>
      <c r="K176" s="740" t="str">
        <f t="shared" si="2"/>
        <v>Q1FY26</v>
      </c>
      <c r="L176" s="828" t="s">
        <v>271</v>
      </c>
      <c r="M176" s="828" t="str">
        <f>M158</f>
        <v>Q3FY26</v>
      </c>
      <c r="N176" s="828" t="str">
        <f>N158</f>
        <v>Q4FY26</v>
      </c>
      <c r="O176" s="828" t="str">
        <f>O158</f>
        <v>Q1FY27</v>
      </c>
      <c r="P176" s="610"/>
      <c r="Q176" s="610"/>
      <c r="R176" s="610"/>
      <c r="U176" s="610"/>
      <c r="V176" s="610"/>
      <c r="W176" s="610"/>
      <c r="X176" s="610"/>
      <c r="Y176" s="610"/>
      <c r="Z176" s="610"/>
      <c r="AA176" s="610"/>
      <c r="AB176" s="610"/>
    </row>
    <row r="177" spans="2:28" x14ac:dyDescent="0.15">
      <c r="B177" s="748" t="s">
        <v>187</v>
      </c>
      <c r="C177" s="782">
        <v>422.19109846740662</v>
      </c>
      <c r="D177" s="783">
        <v>438.9531727314054</v>
      </c>
      <c r="E177" s="783">
        <v>458.75832018257057</v>
      </c>
      <c r="F177" s="784">
        <v>482.24642454968529</v>
      </c>
      <c r="G177" s="783">
        <v>483.50899244818294</v>
      </c>
      <c r="H177" s="783">
        <v>495.17092866756394</v>
      </c>
      <c r="I177" s="783">
        <v>516.4577054381449</v>
      </c>
      <c r="J177" s="783">
        <v>530.39418181818189</v>
      </c>
      <c r="K177" s="865">
        <v>522.41057934508819</v>
      </c>
      <c r="L177" s="866">
        <v>532.58478574026185</v>
      </c>
      <c r="M177" s="866">
        <v>548.91293378283069</v>
      </c>
      <c r="N177" s="867">
        <f>+Operational!V64</f>
        <v>559.03957091775931</v>
      </c>
      <c r="O177" s="867">
        <f>+Operational!W64</f>
        <v>546.98422857142862</v>
      </c>
      <c r="P177" s="610"/>
      <c r="Q177" s="610"/>
      <c r="R177" s="610"/>
      <c r="U177" s="610"/>
      <c r="V177" s="610"/>
      <c r="W177" s="610"/>
      <c r="X177" s="610"/>
      <c r="Y177" s="610"/>
      <c r="Z177" s="610"/>
      <c r="AA177" s="610"/>
      <c r="AB177" s="610"/>
    </row>
    <row r="178" spans="2:28" x14ac:dyDescent="0.15">
      <c r="B178" s="748" t="s">
        <v>188</v>
      </c>
      <c r="C178" s="782">
        <v>24.970225186328634</v>
      </c>
      <c r="D178" s="783">
        <v>26.803369308592508</v>
      </c>
      <c r="E178" s="783">
        <v>27.592413766450623</v>
      </c>
      <c r="F178" s="784">
        <v>28.856815803539796</v>
      </c>
      <c r="G178" s="783">
        <v>29.78793191641698</v>
      </c>
      <c r="H178" s="783">
        <v>31.53981997428204</v>
      </c>
      <c r="I178" s="783">
        <v>31.943627276996096</v>
      </c>
      <c r="J178" s="783">
        <v>30.214065251165202</v>
      </c>
      <c r="K178" s="782">
        <v>28.7233571082335</v>
      </c>
      <c r="L178" s="783">
        <v>29.45338561327334</v>
      </c>
      <c r="M178" s="783">
        <v>30.827529568227003</v>
      </c>
      <c r="N178" s="784">
        <f>+Operational!V65</f>
        <v>31.777384823848241</v>
      </c>
      <c r="O178" s="784">
        <f>+Operational!W65</f>
        <v>31.169729729729731</v>
      </c>
      <c r="P178" s="610"/>
      <c r="Q178" s="610"/>
      <c r="R178" s="610"/>
      <c r="U178" s="610"/>
      <c r="V178" s="610"/>
      <c r="W178" s="610"/>
      <c r="X178" s="610"/>
      <c r="Y178" s="610"/>
      <c r="Z178" s="610"/>
      <c r="AA178" s="610"/>
      <c r="AB178" s="610"/>
    </row>
    <row r="179" spans="2:28" x14ac:dyDescent="0.15">
      <c r="B179" s="748" t="s">
        <v>189</v>
      </c>
      <c r="C179" s="782">
        <v>123.13707981244957</v>
      </c>
      <c r="D179" s="783">
        <v>144.23588195679082</v>
      </c>
      <c r="E179" s="783">
        <v>155.48327126139691</v>
      </c>
      <c r="F179" s="784">
        <v>210.93270371282404</v>
      </c>
      <c r="G179" s="783">
        <v>131.26504065040652</v>
      </c>
      <c r="H179" s="783">
        <v>139.32976780763391</v>
      </c>
      <c r="I179" s="783">
        <v>171.19104694861747</v>
      </c>
      <c r="J179" s="783">
        <v>210.26952278208833</v>
      </c>
      <c r="K179" s="782">
        <v>115.40554156171285</v>
      </c>
      <c r="L179" s="783">
        <v>155.59700748129677</v>
      </c>
      <c r="M179" s="783">
        <v>170.27306345166872</v>
      </c>
      <c r="N179" s="784">
        <f>+Operational!V66</f>
        <v>223.89816448152561</v>
      </c>
      <c r="O179" s="784">
        <f>+Operational!W66</f>
        <v>147.55803428571429</v>
      </c>
      <c r="P179" s="610"/>
      <c r="Q179" s="610"/>
      <c r="R179" s="610"/>
      <c r="U179" s="610"/>
      <c r="V179" s="610"/>
      <c r="W179" s="610"/>
      <c r="X179" s="610"/>
      <c r="Y179" s="610"/>
      <c r="Z179" s="610"/>
      <c r="AA179" s="610"/>
      <c r="AB179" s="610"/>
    </row>
    <row r="180" spans="2:28" x14ac:dyDescent="0.15">
      <c r="B180" s="748" t="s">
        <v>190</v>
      </c>
      <c r="C180" s="782">
        <v>7.282864614780979</v>
      </c>
      <c r="D180" s="783">
        <v>8.8073349318379837</v>
      </c>
      <c r="E180" s="783">
        <v>9.3516750883088147</v>
      </c>
      <c r="F180" s="784">
        <v>12.621858593700113</v>
      </c>
      <c r="G180" s="783">
        <v>8.0869521662910095</v>
      </c>
      <c r="H180" s="783">
        <v>8.8745835817464194</v>
      </c>
      <c r="I180" s="783">
        <v>10.588404315211292</v>
      </c>
      <c r="J180" s="783">
        <v>11.978067066820152</v>
      </c>
      <c r="K180" s="782">
        <v>6.3452669482722799</v>
      </c>
      <c r="L180" s="783">
        <v>8.6049372500344781</v>
      </c>
      <c r="M180" s="783">
        <v>9.5627149137382847</v>
      </c>
      <c r="N180" s="784">
        <f>+Operational!V67</f>
        <v>12.727002710027101</v>
      </c>
      <c r="O180" s="784">
        <f>+Operational!W67</f>
        <v>8.4085496580918271</v>
      </c>
      <c r="P180" s="610"/>
      <c r="Q180" s="610"/>
      <c r="R180" s="610"/>
      <c r="U180" s="610"/>
      <c r="V180" s="610"/>
      <c r="W180" s="610"/>
      <c r="X180" s="610"/>
      <c r="Y180" s="610"/>
      <c r="Z180" s="610"/>
      <c r="AA180" s="610"/>
      <c r="AB180" s="610"/>
    </row>
    <row r="181" spans="2:28" x14ac:dyDescent="0.15">
      <c r="B181" s="868" t="s">
        <v>191</v>
      </c>
      <c r="C181" s="852">
        <v>17</v>
      </c>
      <c r="D181" s="853">
        <v>16</v>
      </c>
      <c r="E181" s="853">
        <v>17</v>
      </c>
      <c r="F181" s="854">
        <v>17</v>
      </c>
      <c r="G181" s="853">
        <v>16</v>
      </c>
      <c r="H181" s="853">
        <v>16</v>
      </c>
      <c r="I181" s="853">
        <v>16</v>
      </c>
      <c r="J181" s="853">
        <v>18</v>
      </c>
      <c r="K181" s="852">
        <v>18</v>
      </c>
      <c r="L181" s="853">
        <v>18</v>
      </c>
      <c r="M181" s="853">
        <v>18</v>
      </c>
      <c r="N181" s="854">
        <f>+Operational!V68</f>
        <v>18</v>
      </c>
      <c r="O181" s="854">
        <f>+Operational!W68</f>
        <v>18</v>
      </c>
      <c r="P181" s="610"/>
      <c r="Q181" s="610"/>
      <c r="R181" s="610"/>
      <c r="U181" s="610"/>
      <c r="V181" s="610"/>
      <c r="W181" s="610"/>
      <c r="X181" s="610"/>
      <c r="Y181" s="610"/>
      <c r="Z181" s="610"/>
      <c r="AA181" s="610"/>
      <c r="AB181" s="610"/>
    </row>
    <row r="182" spans="2:28" x14ac:dyDescent="0.15">
      <c r="B182" s="706"/>
      <c r="C182" s="706"/>
      <c r="D182" s="706"/>
      <c r="E182" s="706"/>
      <c r="F182" s="706"/>
      <c r="G182" s="706"/>
      <c r="H182" s="706"/>
      <c r="I182" s="706"/>
      <c r="J182" s="706"/>
      <c r="K182" s="706"/>
      <c r="L182" s="706"/>
      <c r="M182" s="706"/>
      <c r="N182" s="706"/>
      <c r="O182" s="706"/>
      <c r="P182" s="610"/>
      <c r="Q182" s="610"/>
      <c r="R182" s="610"/>
      <c r="U182" s="610"/>
      <c r="V182" s="610"/>
      <c r="W182" s="610"/>
      <c r="X182" s="610"/>
      <c r="Y182" s="610"/>
      <c r="Z182" s="610"/>
      <c r="AA182" s="610"/>
      <c r="AB182" s="610"/>
    </row>
    <row r="183" spans="2:28" x14ac:dyDescent="0.15">
      <c r="B183" s="615" t="s">
        <v>266</v>
      </c>
      <c r="H183" s="612"/>
      <c r="I183" s="612"/>
      <c r="J183" s="612"/>
      <c r="K183" s="612"/>
      <c r="P183" s="610"/>
      <c r="Q183" s="613"/>
      <c r="R183" s="610"/>
      <c r="U183" s="610"/>
      <c r="V183" s="610"/>
      <c r="W183" s="610"/>
      <c r="X183" s="610"/>
      <c r="Y183" s="610"/>
      <c r="Z183" s="610"/>
      <c r="AA183" s="610"/>
      <c r="AB183" s="610"/>
    </row>
    <row r="184" spans="2:28" x14ac:dyDescent="0.15">
      <c r="B184" s="699" t="s">
        <v>163</v>
      </c>
      <c r="C184" s="740" t="s">
        <v>1</v>
      </c>
      <c r="D184" s="741" t="s">
        <v>2</v>
      </c>
      <c r="E184" s="741" t="s">
        <v>3</v>
      </c>
      <c r="F184" s="742" t="s">
        <v>96</v>
      </c>
      <c r="G184" s="741" t="s">
        <v>97</v>
      </c>
      <c r="H184" s="741" t="s">
        <v>131</v>
      </c>
      <c r="I184" s="741" t="s">
        <v>174</v>
      </c>
      <c r="J184" s="741" t="s">
        <v>238</v>
      </c>
      <c r="K184" s="740" t="s">
        <v>251</v>
      </c>
      <c r="L184" s="741" t="s">
        <v>271</v>
      </c>
      <c r="M184" s="741" t="str">
        <f>M176</f>
        <v>Q3FY26</v>
      </c>
      <c r="N184" s="869" t="str">
        <f>N176</f>
        <v>Q4FY26</v>
      </c>
      <c r="O184" s="869" t="str">
        <f>O176</f>
        <v>Q1FY27</v>
      </c>
      <c r="P184" s="610"/>
      <c r="Q184" s="613"/>
      <c r="R184" s="610"/>
      <c r="U184" s="610"/>
      <c r="V184" s="610"/>
      <c r="W184" s="610"/>
      <c r="X184" s="610"/>
      <c r="Y184" s="610"/>
      <c r="Z184" s="610"/>
      <c r="AA184" s="610"/>
      <c r="AB184" s="610"/>
    </row>
    <row r="185" spans="2:28" x14ac:dyDescent="0.15">
      <c r="B185" s="870" t="s">
        <v>145</v>
      </c>
      <c r="C185" s="871">
        <v>1193.4340391651431</v>
      </c>
      <c r="D185" s="872">
        <v>1294.7</v>
      </c>
      <c r="E185" s="872">
        <v>1425</v>
      </c>
      <c r="F185" s="873">
        <v>1318.5775269907931</v>
      </c>
      <c r="G185" s="872">
        <v>1466.1211016043139</v>
      </c>
      <c r="H185" s="872">
        <v>1600.6465291349186</v>
      </c>
      <c r="I185" s="872">
        <v>1756.8639452074319</v>
      </c>
      <c r="J185" s="872">
        <v>1763.3902252789906</v>
      </c>
      <c r="K185" s="871">
        <v>1987.4167937259733</v>
      </c>
      <c r="L185" s="872">
        <v>2080.516079952411</v>
      </c>
      <c r="M185" s="872">
        <v>2066.1183649179798</v>
      </c>
      <c r="N185" s="873">
        <f>+'Credit Quality'!V4</f>
        <v>1937.6320021720921</v>
      </c>
      <c r="O185" s="873">
        <f>+'Credit Quality'!W4</f>
        <v>2100.8273279084592</v>
      </c>
      <c r="P185" s="610"/>
      <c r="Q185" s="613"/>
      <c r="R185" s="610"/>
      <c r="U185" s="610"/>
      <c r="V185" s="610"/>
      <c r="W185" s="610"/>
      <c r="X185" s="610"/>
      <c r="Y185" s="610"/>
      <c r="Z185" s="610"/>
      <c r="AA185" s="610"/>
      <c r="AB185" s="610"/>
    </row>
    <row r="186" spans="2:28" x14ac:dyDescent="0.15">
      <c r="B186" s="874" t="s">
        <v>146</v>
      </c>
      <c r="C186" s="875">
        <v>871.83620852588763</v>
      </c>
      <c r="D186" s="876">
        <v>938.7</v>
      </c>
      <c r="E186" s="876">
        <v>1032.9000000000001</v>
      </c>
      <c r="F186" s="877">
        <v>938.6615135585289</v>
      </c>
      <c r="G186" s="876">
        <v>1043.4183455911648</v>
      </c>
      <c r="H186" s="876">
        <v>1141.2808532369772</v>
      </c>
      <c r="I186" s="876">
        <v>1233.2599708425391</v>
      </c>
      <c r="J186" s="876">
        <v>1191.4636147403394</v>
      </c>
      <c r="K186" s="875">
        <v>1360.897034650206</v>
      </c>
      <c r="L186" s="876">
        <v>1417.7543496690412</v>
      </c>
      <c r="M186" s="876">
        <v>1365.8826894124238</v>
      </c>
      <c r="N186" s="877">
        <f>+'Credit Quality'!V5</f>
        <v>1241.1267342076453</v>
      </c>
      <c r="O186" s="877">
        <f>+'Credit Quality'!W5</f>
        <v>1327.7738772989069</v>
      </c>
      <c r="P186" s="610"/>
      <c r="Q186" s="613"/>
      <c r="R186" s="610"/>
      <c r="U186" s="610"/>
      <c r="V186" s="610"/>
      <c r="W186" s="610"/>
      <c r="X186" s="610"/>
      <c r="Y186" s="610"/>
      <c r="Z186" s="610"/>
      <c r="AA186" s="610"/>
      <c r="AB186" s="610"/>
    </row>
    <row r="187" spans="2:28" x14ac:dyDescent="0.15">
      <c r="B187" s="748" t="s">
        <v>147</v>
      </c>
      <c r="C187" s="878">
        <v>9.9527842197109657E-3</v>
      </c>
      <c r="D187" s="879">
        <v>1.041470608266656E-2</v>
      </c>
      <c r="E187" s="879">
        <v>1.0895728800843359E-2</v>
      </c>
      <c r="F187" s="880">
        <v>9.3587917321395798E-3</v>
      </c>
      <c r="G187" s="879">
        <v>1.0086646213545962E-2</v>
      </c>
      <c r="H187" s="879">
        <v>1.0808484281631938E-2</v>
      </c>
      <c r="I187" s="879">
        <v>1.1395166469305017E-2</v>
      </c>
      <c r="J187" s="879">
        <v>1.0793816651892411E-2</v>
      </c>
      <c r="K187" s="878">
        <v>1.2200000000000001E-2</v>
      </c>
      <c r="L187" s="879">
        <v>1.2395630567162764E-2</v>
      </c>
      <c r="M187" s="879">
        <v>1.1900000000000001E-2</v>
      </c>
      <c r="N187" s="880">
        <f>+'Credit Quality'!V6</f>
        <v>1.0472362803420629E-2</v>
      </c>
      <c r="O187" s="880">
        <f>+'Credit Quality'!W6</f>
        <v>1.113040794652592E-2</v>
      </c>
      <c r="P187" s="610"/>
      <c r="Q187" s="613"/>
      <c r="R187" s="610"/>
      <c r="U187" s="610"/>
      <c r="V187" s="610"/>
      <c r="W187" s="610"/>
      <c r="X187" s="610"/>
      <c r="Y187" s="610"/>
      <c r="Z187" s="610"/>
      <c r="AA187" s="610"/>
      <c r="AB187" s="610"/>
    </row>
    <row r="188" spans="2:28" x14ac:dyDescent="0.15">
      <c r="B188" s="748" t="s">
        <v>148</v>
      </c>
      <c r="C188" s="878">
        <v>7.3149602243413707E-3</v>
      </c>
      <c r="D188" s="879">
        <v>7.5685711114169812E-3</v>
      </c>
      <c r="E188" s="879">
        <v>7.9493317707287278E-3</v>
      </c>
      <c r="F188" s="880">
        <v>6.702634534052186E-3</v>
      </c>
      <c r="G188" s="879">
        <v>7.2236287217406544E-3</v>
      </c>
      <c r="H188" s="879">
        <v>7.7561353171733544E-3</v>
      </c>
      <c r="I188" s="879">
        <v>8.0515329827484071E-3</v>
      </c>
      <c r="J188" s="879">
        <v>7.3412504947023517E-3</v>
      </c>
      <c r="K188" s="878">
        <v>8.3864915454957729E-3</v>
      </c>
      <c r="L188" s="879">
        <v>8.5083795452281681E-3</v>
      </c>
      <c r="M188" s="879">
        <v>7.8942467504344253E-3</v>
      </c>
      <c r="N188" s="880">
        <f>+'Credit Quality'!V7</f>
        <v>6.7552787213359519E-3</v>
      </c>
      <c r="O188" s="880">
        <f>+'Credit Quality'!W7</f>
        <v>7.0875342858377297E-3</v>
      </c>
      <c r="P188" s="610"/>
      <c r="Q188" s="613"/>
      <c r="R188" s="610"/>
      <c r="U188" s="610"/>
      <c r="V188" s="610"/>
      <c r="W188" s="610"/>
      <c r="X188" s="610"/>
      <c r="Y188" s="610"/>
      <c r="Z188" s="610"/>
      <c r="AA188" s="610"/>
      <c r="AB188" s="610"/>
    </row>
    <row r="189" spans="2:28" x14ac:dyDescent="0.15">
      <c r="B189" s="748" t="s">
        <v>149</v>
      </c>
      <c r="C189" s="882">
        <v>3.6812593386020512E-2</v>
      </c>
      <c r="D189" s="881">
        <v>3.5757898623195283E-2</v>
      </c>
      <c r="E189" s="881">
        <v>3.7537112276305441E-2</v>
      </c>
      <c r="F189" s="883">
        <v>3.1199999999999999E-2</v>
      </c>
      <c r="G189" s="881">
        <v>3.6499999999999998E-2</v>
      </c>
      <c r="H189" s="881">
        <v>3.9665775458161801E-2</v>
      </c>
      <c r="I189" s="881">
        <v>3.85E-2</v>
      </c>
      <c r="J189" s="881">
        <v>3.39E-2</v>
      </c>
      <c r="K189" s="882">
        <v>4.1500000000000002E-2</v>
      </c>
      <c r="L189" s="881">
        <v>3.9899999999999998E-2</v>
      </c>
      <c r="M189" s="881">
        <v>3.8013380161595306E-2</v>
      </c>
      <c r="N189" s="883">
        <f>+'Credit Quality'!V8</f>
        <v>3.1699999999999999E-2</v>
      </c>
      <c r="O189" s="883">
        <f>+'Credit Quality'!W8</f>
        <v>3.7600000000000001E-2</v>
      </c>
      <c r="P189" s="610"/>
      <c r="Q189" s="613"/>
      <c r="R189" s="610"/>
      <c r="U189" s="610"/>
      <c r="V189" s="610"/>
      <c r="W189" s="610"/>
      <c r="X189" s="610"/>
      <c r="Y189" s="610"/>
      <c r="Z189" s="610"/>
      <c r="AA189" s="610"/>
      <c r="AB189" s="610"/>
    </row>
    <row r="190" spans="2:28" x14ac:dyDescent="0.15">
      <c r="B190" s="806" t="s">
        <v>150</v>
      </c>
      <c r="C190" s="884">
        <v>1.6325302937604006E-3</v>
      </c>
      <c r="D190" s="885">
        <v>1.7711987572870311E-3</v>
      </c>
      <c r="E190" s="885">
        <v>2.0903109285992003E-3</v>
      </c>
      <c r="F190" s="886">
        <v>1.0798977442600132E-3</v>
      </c>
      <c r="G190" s="885">
        <v>2.0269237840477398E-3</v>
      </c>
      <c r="H190" s="885">
        <v>1.1401355647453831E-3</v>
      </c>
      <c r="I190" s="887">
        <v>1.3970648634727852E-3</v>
      </c>
      <c r="J190" s="887">
        <v>1.6741084609058537E-3</v>
      </c>
      <c r="K190" s="884">
        <f>+'[1]Yields, Margins &amp; Ratios'!E116</f>
        <v>0</v>
      </c>
      <c r="L190" s="885">
        <v>1.6448963322227349E-3</v>
      </c>
      <c r="M190" s="885">
        <v>1.5805772407038968E-3</v>
      </c>
      <c r="N190" s="888">
        <f>+'Credit Quality'!V9</f>
        <v>1.2827884947701404E-3</v>
      </c>
      <c r="O190" s="888">
        <f>+'Credit Quality'!W9</f>
        <v>2.3811791441777364E-3</v>
      </c>
      <c r="P190" s="610"/>
      <c r="Q190" s="613"/>
      <c r="R190" s="610"/>
      <c r="U190" s="610"/>
      <c r="V190" s="610"/>
      <c r="W190" s="610"/>
      <c r="X190" s="610"/>
      <c r="Y190" s="610"/>
      <c r="Z190" s="610"/>
      <c r="AA190" s="610"/>
      <c r="AB190" s="610"/>
    </row>
    <row r="191" spans="2:28" x14ac:dyDescent="0.15">
      <c r="B191" s="750" t="s">
        <v>130</v>
      </c>
      <c r="C191" s="889"/>
      <c r="D191" s="890"/>
      <c r="E191" s="890"/>
      <c r="F191" s="891"/>
      <c r="G191" s="890"/>
      <c r="H191" s="890"/>
      <c r="I191" s="892"/>
      <c r="J191" s="892"/>
      <c r="K191" s="889"/>
      <c r="L191" s="890"/>
      <c r="M191" s="890"/>
      <c r="N191" s="893"/>
      <c r="O191" s="893"/>
      <c r="P191" s="610"/>
      <c r="Q191" s="613"/>
      <c r="R191" s="610"/>
      <c r="U191" s="610"/>
      <c r="V191" s="610"/>
      <c r="W191" s="610"/>
      <c r="X191" s="610"/>
      <c r="Y191" s="610"/>
      <c r="Z191" s="610"/>
      <c r="AA191" s="610"/>
      <c r="AB191" s="610"/>
    </row>
    <row r="192" spans="2:28" x14ac:dyDescent="0.15">
      <c r="B192" s="744" t="s">
        <v>129</v>
      </c>
      <c r="C192" s="894">
        <v>9.5999999999999992E-3</v>
      </c>
      <c r="D192" s="895">
        <v>9.9000000000000008E-3</v>
      </c>
      <c r="E192" s="895">
        <v>1.03E-2</v>
      </c>
      <c r="F192" s="896">
        <v>8.8000000000000005E-3</v>
      </c>
      <c r="G192" s="895">
        <v>9.2999999999999992E-3</v>
      </c>
      <c r="H192" s="895">
        <v>9.8502375740703793E-3</v>
      </c>
      <c r="I192" s="897">
        <v>1.0699999999999999E-2</v>
      </c>
      <c r="J192" s="897">
        <v>1.0200000000000001E-2</v>
      </c>
      <c r="K192" s="894">
        <v>1.15E-2</v>
      </c>
      <c r="L192" s="895">
        <v>1.18E-2</v>
      </c>
      <c r="M192" s="895">
        <v>1.1599999999999999E-2</v>
      </c>
      <c r="N192" s="898">
        <f>+'Credit Quality'!V11</f>
        <v>1.03E-2</v>
      </c>
      <c r="O192" s="898">
        <f>+'Credit Quality'!W11</f>
        <v>1.0999999999999999E-2</v>
      </c>
      <c r="P192" s="610"/>
      <c r="Q192" s="613"/>
      <c r="R192" s="610"/>
      <c r="U192" s="610"/>
      <c r="V192" s="610"/>
      <c r="W192" s="610"/>
      <c r="X192" s="610"/>
      <c r="Y192" s="610"/>
      <c r="Z192" s="610"/>
      <c r="AA192" s="610"/>
      <c r="AB192" s="610"/>
    </row>
    <row r="193" spans="2:28" x14ac:dyDescent="0.15">
      <c r="B193" s="806" t="s">
        <v>143</v>
      </c>
      <c r="C193" s="884">
        <v>1.12E-2</v>
      </c>
      <c r="D193" s="885">
        <v>1.21E-2</v>
      </c>
      <c r="E193" s="885">
        <v>1.3100000000000001E-2</v>
      </c>
      <c r="F193" s="886">
        <v>1.1599999999999999E-2</v>
      </c>
      <c r="G193" s="885">
        <v>1.3299999999999999E-2</v>
      </c>
      <c r="H193" s="885">
        <v>1.4850175841967609E-2</v>
      </c>
      <c r="I193" s="885">
        <v>1.4500000000000001E-2</v>
      </c>
      <c r="J193" s="885">
        <v>1.32E-2</v>
      </c>
      <c r="K193" s="884">
        <v>1.47E-2</v>
      </c>
      <c r="L193" s="885">
        <v>1.46E-2</v>
      </c>
      <c r="M193" s="885">
        <v>1.29E-2</v>
      </c>
      <c r="N193" s="886">
        <f>+'Credit Quality'!V12</f>
        <v>1.11E-2</v>
      </c>
      <c r="O193" s="886">
        <f>+'Credit Quality'!W12</f>
        <v>1.15E-2</v>
      </c>
      <c r="P193" s="610"/>
      <c r="Q193" s="613"/>
      <c r="R193" s="610"/>
      <c r="U193" s="610"/>
      <c r="V193" s="610"/>
      <c r="W193" s="610"/>
      <c r="X193" s="610"/>
      <c r="Y193" s="610"/>
      <c r="Z193" s="610"/>
      <c r="AA193" s="610"/>
      <c r="AB193" s="610"/>
    </row>
    <row r="194" spans="2:28" x14ac:dyDescent="0.15">
      <c r="H194" s="612"/>
      <c r="I194" s="612"/>
      <c r="J194" s="612"/>
      <c r="K194" s="899"/>
      <c r="N194" s="900"/>
      <c r="O194" s="900"/>
      <c r="P194" s="610"/>
      <c r="Q194" s="613"/>
      <c r="S194" s="612"/>
      <c r="T194" s="612"/>
      <c r="U194" s="612"/>
      <c r="Y194" s="610"/>
      <c r="Z194" s="610"/>
      <c r="AA194" s="610"/>
      <c r="AB194" s="610"/>
    </row>
    <row r="195" spans="2:28" x14ac:dyDescent="0.15">
      <c r="B195" s="617" t="s">
        <v>140</v>
      </c>
      <c r="C195" s="740" t="s">
        <v>1</v>
      </c>
      <c r="D195" s="741" t="s">
        <v>2</v>
      </c>
      <c r="E195" s="741" t="s">
        <v>3</v>
      </c>
      <c r="F195" s="742" t="s">
        <v>96</v>
      </c>
      <c r="G195" s="741" t="s">
        <v>97</v>
      </c>
      <c r="H195" s="741" t="s">
        <v>131</v>
      </c>
      <c r="I195" s="741" t="s">
        <v>174</v>
      </c>
      <c r="J195" s="741" t="s">
        <v>238</v>
      </c>
      <c r="K195" s="740" t="str">
        <f>K184</f>
        <v>Q1FY26</v>
      </c>
      <c r="L195" s="741" t="s">
        <v>271</v>
      </c>
      <c r="M195" s="741" t="s">
        <v>278</v>
      </c>
      <c r="N195" s="742" t="str">
        <f>+'Credit Quality'!V14</f>
        <v>Q4FY26</v>
      </c>
      <c r="O195" s="742" t="str">
        <f>+'Credit Quality'!W14</f>
        <v>Q1FY27</v>
      </c>
      <c r="P195" s="610"/>
      <c r="Q195" s="613"/>
      <c r="R195" s="610"/>
      <c r="U195" s="610"/>
      <c r="V195" s="610"/>
      <c r="W195" s="610"/>
      <c r="X195" s="610"/>
      <c r="Y195" s="610"/>
      <c r="Z195" s="610"/>
      <c r="AA195" s="610"/>
      <c r="AB195" s="610"/>
    </row>
    <row r="196" spans="2:28" x14ac:dyDescent="0.15">
      <c r="B196" s="901" t="s">
        <v>52</v>
      </c>
      <c r="C196" s="875">
        <v>1193.4340391651431</v>
      </c>
      <c r="D196" s="876">
        <v>1294.7</v>
      </c>
      <c r="E196" s="876">
        <v>1425</v>
      </c>
      <c r="F196" s="877">
        <v>1318.5775269907931</v>
      </c>
      <c r="G196" s="876">
        <v>1466.1211016043139</v>
      </c>
      <c r="H196" s="876">
        <v>1600.6465291349186</v>
      </c>
      <c r="I196" s="876">
        <v>1756.8639452074319</v>
      </c>
      <c r="J196" s="876">
        <v>1763.3902252789906</v>
      </c>
      <c r="K196" s="875">
        <f>+K186</f>
        <v>1360.897034650206</v>
      </c>
      <c r="L196" s="876">
        <v>2080.516079952411</v>
      </c>
      <c r="M196" s="876">
        <v>2066.1183649179798</v>
      </c>
      <c r="N196" s="877">
        <f>+'Credit Quality'!V15</f>
        <v>1937.6320021720921</v>
      </c>
      <c r="O196" s="877">
        <f>+'Credit Quality'!W15</f>
        <v>2100.8273279084592</v>
      </c>
      <c r="P196" s="610"/>
      <c r="Q196" s="613"/>
      <c r="R196" s="610"/>
      <c r="U196" s="610"/>
      <c r="V196" s="610"/>
      <c r="W196" s="610"/>
      <c r="X196" s="610"/>
      <c r="Y196" s="610"/>
      <c r="Z196" s="610"/>
      <c r="AA196" s="610"/>
      <c r="AB196" s="610"/>
    </row>
    <row r="197" spans="2:28" x14ac:dyDescent="0.15">
      <c r="B197" s="901" t="s">
        <v>53</v>
      </c>
      <c r="C197" s="878">
        <v>9.9527839079495417E-3</v>
      </c>
      <c r="D197" s="879">
        <v>1.04E-2</v>
      </c>
      <c r="E197" s="879">
        <v>1.09E-2</v>
      </c>
      <c r="F197" s="880">
        <v>9.3587915860038028E-3</v>
      </c>
      <c r="G197" s="879">
        <v>1.008664621354596E-2</v>
      </c>
      <c r="H197" s="879">
        <v>1.0808484281631938E-2</v>
      </c>
      <c r="I197" s="879">
        <v>1.1395166469305017E-2</v>
      </c>
      <c r="J197" s="879">
        <v>1.0793816651892411E-2</v>
      </c>
      <c r="K197" s="878">
        <v>1.2161817065071644E-2</v>
      </c>
      <c r="L197" s="879">
        <v>1.2395630567162764E-2</v>
      </c>
      <c r="M197" s="879">
        <v>1.1900000000000001E-2</v>
      </c>
      <c r="N197" s="880">
        <f>+'Credit Quality'!V16</f>
        <v>1.0472362803420629E-2</v>
      </c>
      <c r="O197" s="880">
        <f>+'Credit Quality'!W16</f>
        <v>1.113040794652592E-2</v>
      </c>
      <c r="P197" s="610"/>
      <c r="Q197" s="613"/>
      <c r="R197" s="610"/>
      <c r="U197" s="610"/>
      <c r="V197" s="610"/>
      <c r="W197" s="610"/>
      <c r="X197" s="610"/>
      <c r="Y197" s="610"/>
      <c r="Z197" s="610"/>
      <c r="AA197" s="610"/>
      <c r="AB197" s="610"/>
    </row>
    <row r="198" spans="2:28" x14ac:dyDescent="0.15">
      <c r="B198" s="901" t="s">
        <v>54</v>
      </c>
      <c r="C198" s="875">
        <v>321.59783063925545</v>
      </c>
      <c r="D198" s="876">
        <v>356</v>
      </c>
      <c r="E198" s="876">
        <v>392.1</v>
      </c>
      <c r="F198" s="877">
        <v>379.91601343226421</v>
      </c>
      <c r="G198" s="706">
        <v>422.70275601314916</v>
      </c>
      <c r="H198" s="706">
        <v>459.36567589794146</v>
      </c>
      <c r="I198" s="706">
        <v>523.60397436489291</v>
      </c>
      <c r="J198" s="706">
        <v>571.92661053865106</v>
      </c>
      <c r="K198" s="705">
        <v>626.5197590757673</v>
      </c>
      <c r="L198" s="706">
        <v>662.76173028336984</v>
      </c>
      <c r="M198" s="706">
        <v>700.23567550555595</v>
      </c>
      <c r="N198" s="707">
        <f>+'Credit Quality'!V17</f>
        <v>696.50526796444694</v>
      </c>
      <c r="O198" s="707">
        <f>+'Credit Quality'!W17</f>
        <v>773.05345060955233</v>
      </c>
      <c r="P198" s="610"/>
      <c r="Q198" s="613"/>
      <c r="R198" s="610"/>
      <c r="U198" s="610"/>
      <c r="V198" s="610"/>
      <c r="W198" s="610"/>
      <c r="X198" s="610"/>
      <c r="Y198" s="610"/>
      <c r="Z198" s="610"/>
      <c r="AA198" s="610"/>
      <c r="AB198" s="610"/>
    </row>
    <row r="199" spans="2:28" x14ac:dyDescent="0.15">
      <c r="B199" s="901" t="s">
        <v>55</v>
      </c>
      <c r="C199" s="875">
        <v>871.83620852588763</v>
      </c>
      <c r="D199" s="876">
        <v>938.7</v>
      </c>
      <c r="E199" s="876">
        <v>1032.9000000000001</v>
      </c>
      <c r="F199" s="877">
        <v>938.6615135585289</v>
      </c>
      <c r="G199" s="876">
        <v>1043.4183455911648</v>
      </c>
      <c r="H199" s="876">
        <v>1141.2808532369772</v>
      </c>
      <c r="I199" s="876">
        <v>1233.2599708425391</v>
      </c>
      <c r="J199" s="876">
        <v>1191.4636147403394</v>
      </c>
      <c r="K199" s="875">
        <v>1360.897034650206</v>
      </c>
      <c r="L199" s="876">
        <v>1417.7543496690412</v>
      </c>
      <c r="M199" s="876">
        <v>1365.8826894124238</v>
      </c>
      <c r="N199" s="877">
        <f>+'Credit Quality'!V18</f>
        <v>1241.1267342076453</v>
      </c>
      <c r="O199" s="877">
        <f>+'Credit Quality'!W18</f>
        <v>1327.7738772989069</v>
      </c>
      <c r="P199" s="610"/>
      <c r="Q199" s="613"/>
      <c r="R199" s="610"/>
      <c r="U199" s="610"/>
      <c r="V199" s="610"/>
      <c r="W199" s="610"/>
      <c r="X199" s="610"/>
      <c r="Y199" s="610"/>
      <c r="Z199" s="610"/>
      <c r="AA199" s="610"/>
      <c r="AB199" s="610"/>
    </row>
    <row r="200" spans="2:28" x14ac:dyDescent="0.15">
      <c r="B200" s="902" t="s">
        <v>56</v>
      </c>
      <c r="C200" s="903">
        <v>0.26947264790957914</v>
      </c>
      <c r="D200" s="904">
        <v>0.27496717386267089</v>
      </c>
      <c r="E200" s="904">
        <v>0.27515789473684205</v>
      </c>
      <c r="F200" s="905">
        <v>0.28812565484814068</v>
      </c>
      <c r="G200" s="904">
        <v>0.28831367037184275</v>
      </c>
      <c r="H200" s="904">
        <v>0.28698758129079815</v>
      </c>
      <c r="I200" s="904">
        <v>0.29803330860835175</v>
      </c>
      <c r="J200" s="904">
        <v>0.32433354928468261</v>
      </c>
      <c r="K200" s="903">
        <v>0.31524326505321476</v>
      </c>
      <c r="L200" s="904">
        <v>0.31855640851308853</v>
      </c>
      <c r="M200" s="904">
        <v>0.33891363021370446</v>
      </c>
      <c r="N200" s="905">
        <f>+'Credit Quality'!V19</f>
        <v>0.35946209970916154</v>
      </c>
      <c r="O200" s="905">
        <f>+'Credit Quality'!W19</f>
        <v>0.36797572096474418</v>
      </c>
      <c r="P200" s="610"/>
      <c r="Q200" s="613"/>
      <c r="R200" s="610"/>
      <c r="U200" s="610"/>
      <c r="V200" s="610"/>
      <c r="W200" s="610"/>
      <c r="X200" s="610"/>
      <c r="Y200" s="610"/>
      <c r="Z200" s="610"/>
      <c r="AA200" s="610"/>
      <c r="AB200" s="610"/>
    </row>
    <row r="201" spans="2:28" x14ac:dyDescent="0.15">
      <c r="B201" s="901" t="s">
        <v>57</v>
      </c>
      <c r="C201" s="875">
        <v>2230.7982331078674</v>
      </c>
      <c r="D201" s="876">
        <v>2096</v>
      </c>
      <c r="E201" s="876">
        <v>2193.1</v>
      </c>
      <c r="F201" s="877">
        <v>2065.8658199373167</v>
      </c>
      <c r="G201" s="876">
        <v>2285.4395559982513</v>
      </c>
      <c r="H201" s="876">
        <v>2417.9565911970731</v>
      </c>
      <c r="I201" s="876">
        <v>2372.0201895329219</v>
      </c>
      <c r="J201" s="876">
        <v>2408.0263487186003</v>
      </c>
      <c r="K201" s="875">
        <v>2647.3853073083515</v>
      </c>
      <c r="L201" s="876">
        <v>2571.2808376159992</v>
      </c>
      <c r="M201" s="876">
        <v>2652.0514569465399</v>
      </c>
      <c r="N201" s="877">
        <f>+'Credit Quality'!V21</f>
        <v>2368.6705941429555</v>
      </c>
      <c r="O201" s="877">
        <f>+'Credit Quality'!W21</f>
        <v>2716.6003481753169</v>
      </c>
      <c r="P201" s="610"/>
      <c r="Q201" s="613"/>
      <c r="R201" s="610"/>
      <c r="U201" s="610"/>
      <c r="V201" s="610"/>
      <c r="W201" s="610"/>
      <c r="X201" s="610"/>
      <c r="Y201" s="610"/>
      <c r="Z201" s="610"/>
      <c r="AA201" s="610"/>
      <c r="AB201" s="610"/>
    </row>
    <row r="202" spans="2:28" x14ac:dyDescent="0.15">
      <c r="B202" s="901" t="s">
        <v>58</v>
      </c>
      <c r="C202" s="906">
        <v>1.8604004936787235E-2</v>
      </c>
      <c r="D202" s="907">
        <v>1.6799999999999999E-2</v>
      </c>
      <c r="E202" s="907">
        <v>1.6799999999999999E-2</v>
      </c>
      <c r="F202" s="908">
        <v>1.4662776558588508E-2</v>
      </c>
      <c r="G202" s="907">
        <v>1.5723407990358124E-2</v>
      </c>
      <c r="H202" s="907">
        <v>1.6327431031101201E-2</v>
      </c>
      <c r="I202" s="907">
        <v>1.538512131347127E-2</v>
      </c>
      <c r="J202" s="907">
        <v>1.4739672778260002E-2</v>
      </c>
      <c r="K202" s="906">
        <v>1.6200434609330367E-2</v>
      </c>
      <c r="L202" s="907">
        <v>1.5319587122942015E-2</v>
      </c>
      <c r="M202" s="907">
        <v>1.5216254152227538E-2</v>
      </c>
      <c r="N202" s="909">
        <f>+'Credit Quality'!V22</f>
        <v>1.2802006674049453E-2</v>
      </c>
      <c r="O202" s="909">
        <f>+'Credit Quality'!W22</f>
        <v>1.4392839288209773E-2</v>
      </c>
      <c r="P202" s="610"/>
      <c r="Q202" s="613"/>
      <c r="R202" s="610"/>
      <c r="U202" s="610"/>
      <c r="V202" s="610"/>
      <c r="W202" s="610"/>
      <c r="X202" s="610"/>
      <c r="Y202" s="610"/>
      <c r="Z202" s="610"/>
      <c r="AA202" s="610"/>
      <c r="AB202" s="610"/>
    </row>
    <row r="203" spans="2:28" x14ac:dyDescent="0.15">
      <c r="B203" s="901" t="s">
        <v>59</v>
      </c>
      <c r="C203" s="875">
        <v>176.11599547073257</v>
      </c>
      <c r="D203" s="876">
        <v>161.80000000000001</v>
      </c>
      <c r="E203" s="876">
        <v>161.1</v>
      </c>
      <c r="F203" s="877">
        <v>152.49850539456565</v>
      </c>
      <c r="G203" s="706">
        <v>160.23021833559932</v>
      </c>
      <c r="H203" s="706">
        <v>162.6304838074447</v>
      </c>
      <c r="I203" s="706">
        <v>256.39684710340538</v>
      </c>
      <c r="J203" s="706">
        <v>267.46458104958782</v>
      </c>
      <c r="K203" s="705">
        <v>258.99753043031052</v>
      </c>
      <c r="L203" s="706">
        <v>245.46882522833562</v>
      </c>
      <c r="M203" s="706">
        <v>250.73854996663002</v>
      </c>
      <c r="N203" s="707">
        <f>+'Credit Quality'!V23</f>
        <v>235.46655958635779</v>
      </c>
      <c r="O203" s="707">
        <f>+'Credit Quality'!W23</f>
        <v>265.17821540775265</v>
      </c>
      <c r="P203" s="610"/>
      <c r="Q203" s="613"/>
      <c r="R203" s="610"/>
      <c r="U203" s="610"/>
      <c r="V203" s="610"/>
      <c r="W203" s="610"/>
      <c r="X203" s="610"/>
      <c r="Y203" s="610"/>
      <c r="Z203" s="610"/>
      <c r="AA203" s="610"/>
      <c r="AB203" s="610"/>
    </row>
    <row r="204" spans="2:28" x14ac:dyDescent="0.15">
      <c r="B204" s="901" t="s">
        <v>60</v>
      </c>
      <c r="C204" s="875">
        <v>2054.6822376371347</v>
      </c>
      <c r="D204" s="876">
        <v>1934.2</v>
      </c>
      <c r="E204" s="876">
        <v>2032</v>
      </c>
      <c r="F204" s="910">
        <v>1913.367314542751</v>
      </c>
      <c r="G204" s="876">
        <v>2125.2093376626522</v>
      </c>
      <c r="H204" s="876">
        <v>2255.3261073896283</v>
      </c>
      <c r="I204" s="876">
        <v>2115.6233424295165</v>
      </c>
      <c r="J204" s="876">
        <v>2140.5617676690126</v>
      </c>
      <c r="K204" s="875">
        <v>2388.3877768780408</v>
      </c>
      <c r="L204" s="876">
        <v>2325.8120123876633</v>
      </c>
      <c r="M204" s="876">
        <v>2401.3129069799097</v>
      </c>
      <c r="N204" s="877">
        <f>+'Credit Quality'!V24</f>
        <v>2133.2040345565974</v>
      </c>
      <c r="O204" s="877">
        <f>+'Credit Quality'!W24</f>
        <v>2451.4221327675641</v>
      </c>
      <c r="P204" s="610"/>
      <c r="Q204" s="613"/>
      <c r="R204" s="610"/>
      <c r="U204" s="610"/>
      <c r="V204" s="610"/>
      <c r="W204" s="610"/>
      <c r="X204" s="610"/>
      <c r="Y204" s="610"/>
      <c r="Z204" s="610"/>
      <c r="AA204" s="610"/>
      <c r="AB204" s="610"/>
    </row>
    <row r="205" spans="2:28" x14ac:dyDescent="0.15">
      <c r="B205" s="902" t="s">
        <v>61</v>
      </c>
      <c r="C205" s="903">
        <v>7.8947523293208977E-2</v>
      </c>
      <c r="D205" s="904">
        <v>7.7194656488549618E-2</v>
      </c>
      <c r="E205" s="904">
        <v>7.3457662669280888E-2</v>
      </c>
      <c r="F205" s="905">
        <v>7.3818204417164357E-2</v>
      </c>
      <c r="G205" s="904">
        <v>7.0109147238248681E-2</v>
      </c>
      <c r="H205" s="904">
        <v>6.725947206807803E-2</v>
      </c>
      <c r="I205" s="904">
        <v>0.10809218582321294</v>
      </c>
      <c r="J205" s="904">
        <v>0.11107211563192222</v>
      </c>
      <c r="K205" s="903">
        <v>9.7831445130153113E-2</v>
      </c>
      <c r="L205" s="904">
        <v>9.5465583392254291E-2</v>
      </c>
      <c r="M205" s="904">
        <v>9.4545130076518116E-2</v>
      </c>
      <c r="N205" s="905">
        <f>+'Credit Quality'!V25</f>
        <v>9.9408740146730068E-2</v>
      </c>
      <c r="O205" s="905">
        <f>+'Credit Quality'!W25</f>
        <v>9.7613995958539604E-2</v>
      </c>
      <c r="P205" s="610"/>
      <c r="Q205" s="613"/>
      <c r="R205" s="610"/>
      <c r="U205" s="610"/>
      <c r="V205" s="610"/>
      <c r="W205" s="610"/>
      <c r="X205" s="610"/>
      <c r="Y205" s="610"/>
      <c r="Z205" s="610"/>
      <c r="AA205" s="610"/>
      <c r="AB205" s="610"/>
    </row>
    <row r="206" spans="2:28" x14ac:dyDescent="0.15">
      <c r="B206" s="901" t="s">
        <v>168</v>
      </c>
      <c r="C206" s="875">
        <v>116485.3377739446</v>
      </c>
      <c r="D206" s="876">
        <v>121432.8</v>
      </c>
      <c r="E206" s="876">
        <v>127159.9</v>
      </c>
      <c r="F206" s="877">
        <v>137507.41377731253</v>
      </c>
      <c r="G206" s="876">
        <v>141601.12353145645</v>
      </c>
      <c r="H206" s="876">
        <v>144073.07073768301</v>
      </c>
      <c r="I206" s="876">
        <v>150047.35804126199</v>
      </c>
      <c r="J206" s="876">
        <v>159198.99096111898</v>
      </c>
      <c r="K206" s="875">
        <v>158779.65998899101</v>
      </c>
      <c r="L206" s="876">
        <v>163190.90125576223</v>
      </c>
      <c r="M206" s="876">
        <v>169572.52159369001</v>
      </c>
      <c r="N206" s="877">
        <f>+'Credit Quality'!V27</f>
        <v>180717.08119432253</v>
      </c>
      <c r="O206" s="877">
        <f>+'Credit Quality'!W27</f>
        <v>183929.23264414107</v>
      </c>
      <c r="P206" s="610"/>
      <c r="Q206" s="613"/>
      <c r="R206" s="610"/>
      <c r="U206" s="610"/>
      <c r="V206" s="610"/>
      <c r="W206" s="610"/>
      <c r="X206" s="610"/>
      <c r="Y206" s="610"/>
      <c r="Z206" s="610"/>
      <c r="AA206" s="610"/>
      <c r="AB206" s="610"/>
    </row>
    <row r="207" spans="2:28" x14ac:dyDescent="0.15">
      <c r="B207" s="901" t="s">
        <v>62</v>
      </c>
      <c r="C207" s="906">
        <v>0.97144321115526322</v>
      </c>
      <c r="D207" s="907">
        <v>0.9728</v>
      </c>
      <c r="E207" s="907">
        <v>0.97230000000000005</v>
      </c>
      <c r="F207" s="908">
        <v>0.97597843185540767</v>
      </c>
      <c r="G207" s="907">
        <v>0.97418994579609597</v>
      </c>
      <c r="H207" s="907">
        <v>0.97286408468726682</v>
      </c>
      <c r="I207" s="907">
        <v>0.97321971221722359</v>
      </c>
      <c r="J207" s="907">
        <v>0.97446651056984757</v>
      </c>
      <c r="K207" s="906">
        <v>0.97163774832559802</v>
      </c>
      <c r="L207" s="907">
        <v>0.97228478230989535</v>
      </c>
      <c r="M207" s="907">
        <v>0.97292930687494283</v>
      </c>
      <c r="N207" s="908">
        <f>+'Credit Quality'!V28</f>
        <v>0.97672563052252992</v>
      </c>
      <c r="O207" s="908">
        <f>+'Credit Quality'!W28</f>
        <v>0.97447675276526424</v>
      </c>
      <c r="P207" s="610"/>
      <c r="Q207" s="613"/>
      <c r="R207" s="610"/>
      <c r="U207" s="610"/>
      <c r="V207" s="610"/>
      <c r="W207" s="610"/>
      <c r="X207" s="610"/>
      <c r="Y207" s="610"/>
      <c r="Z207" s="610"/>
      <c r="AA207" s="610"/>
      <c r="AB207" s="610"/>
    </row>
    <row r="208" spans="2:28" x14ac:dyDescent="0.15">
      <c r="B208" s="901" t="s">
        <v>63</v>
      </c>
      <c r="C208" s="875">
        <v>267.84996304660291</v>
      </c>
      <c r="D208" s="876">
        <v>279.60000000000002</v>
      </c>
      <c r="E208" s="876">
        <v>292.3</v>
      </c>
      <c r="F208" s="877">
        <v>315.77417391393749</v>
      </c>
      <c r="G208" s="706">
        <v>324.57195863472282</v>
      </c>
      <c r="H208" s="706">
        <v>324.1204631238989</v>
      </c>
      <c r="I208" s="706">
        <v>225.41370159145757</v>
      </c>
      <c r="J208" s="706">
        <v>233.92328014186901</v>
      </c>
      <c r="K208" s="705">
        <v>256.43462537716272</v>
      </c>
      <c r="L208" s="706">
        <v>304.10726157771336</v>
      </c>
      <c r="M208" s="706">
        <v>317.16892260406803</v>
      </c>
      <c r="N208" s="707">
        <f>+'Credit Quality'!V29</f>
        <v>364.46516995800522</v>
      </c>
      <c r="O208" s="707">
        <f>+'Credit Quality'!W29</f>
        <v>369.10530842042073</v>
      </c>
      <c r="P208" s="610"/>
      <c r="Q208" s="613"/>
      <c r="R208" s="610"/>
      <c r="U208" s="610"/>
      <c r="V208" s="610"/>
      <c r="W208" s="610"/>
      <c r="X208" s="610"/>
      <c r="Y208" s="610"/>
      <c r="Z208" s="610"/>
      <c r="AA208" s="610"/>
      <c r="AB208" s="610"/>
    </row>
    <row r="209" spans="2:28" x14ac:dyDescent="0.15">
      <c r="B209" s="705" t="s">
        <v>64</v>
      </c>
      <c r="C209" s="875">
        <v>116217.487810898</v>
      </c>
      <c r="D209" s="876">
        <v>121153.2</v>
      </c>
      <c r="E209" s="876">
        <v>126867.59999999999</v>
      </c>
      <c r="F209" s="877">
        <v>137191.63960339859</v>
      </c>
      <c r="G209" s="876">
        <v>141276.55157282174</v>
      </c>
      <c r="H209" s="876">
        <v>143748.95027455912</v>
      </c>
      <c r="I209" s="876">
        <v>149821.94433967053</v>
      </c>
      <c r="J209" s="876">
        <v>158965.06768097711</v>
      </c>
      <c r="K209" s="875">
        <v>158523.22536361386</v>
      </c>
      <c r="L209" s="876">
        <v>162886.79399418453</v>
      </c>
      <c r="M209" s="876">
        <v>169255.35267108594</v>
      </c>
      <c r="N209" s="877">
        <f>+'Credit Quality'!V30</f>
        <v>180352.61602436451</v>
      </c>
      <c r="O209" s="877">
        <f>+'Credit Quality'!W30</f>
        <v>183560.12733572064</v>
      </c>
      <c r="P209" s="610"/>
      <c r="Q209" s="613"/>
      <c r="R209" s="610"/>
      <c r="U209" s="610"/>
      <c r="V209" s="610"/>
      <c r="W209" s="610"/>
      <c r="X209" s="610"/>
      <c r="Y209" s="610"/>
      <c r="Z209" s="610"/>
      <c r="AA209" s="610"/>
      <c r="AB209" s="610"/>
    </row>
    <row r="210" spans="2:28" x14ac:dyDescent="0.15">
      <c r="B210" s="902" t="s">
        <v>156</v>
      </c>
      <c r="C210" s="903">
        <v>2.2994307108967771E-3</v>
      </c>
      <c r="D210" s="904">
        <v>2.3025080538372489E-3</v>
      </c>
      <c r="E210" s="904">
        <v>2.2986806375280278E-3</v>
      </c>
      <c r="F210" s="905">
        <v>2.2964156276352732E-3</v>
      </c>
      <c r="G210" s="904">
        <v>2.2921566618968603E-3</v>
      </c>
      <c r="H210" s="904">
        <v>2.2496949739763128E-3</v>
      </c>
      <c r="I210" s="904">
        <v>1.5022837091838055E-3</v>
      </c>
      <c r="J210" s="904">
        <v>1.4693766507540233E-3</v>
      </c>
      <c r="K210" s="903">
        <v>1.615034478565722E-3</v>
      </c>
      <c r="L210" s="904">
        <v>1.8635062325018895E-3</v>
      </c>
      <c r="M210" s="904">
        <v>1.8704028201221858E-3</v>
      </c>
      <c r="N210" s="905">
        <f>+'Credit Quality'!V31</f>
        <v>2.0167721144527615E-3</v>
      </c>
      <c r="O210" s="905">
        <f>+'Credit Quality'!W31</f>
        <v>2.0067789285814668E-3</v>
      </c>
      <c r="P210" s="610"/>
      <c r="Q210" s="613"/>
      <c r="R210" s="610"/>
      <c r="U210" s="610"/>
      <c r="V210" s="610"/>
      <c r="W210" s="610"/>
      <c r="X210" s="610"/>
      <c r="Y210" s="610"/>
      <c r="Z210" s="610"/>
      <c r="AA210" s="610"/>
      <c r="AB210" s="610"/>
    </row>
    <row r="211" spans="2:28" x14ac:dyDescent="0.15">
      <c r="B211" s="901" t="s">
        <v>65</v>
      </c>
      <c r="C211" s="875">
        <v>119909.57004621762</v>
      </c>
      <c r="D211" s="876">
        <v>124823.5</v>
      </c>
      <c r="E211" s="876">
        <v>130778</v>
      </c>
      <c r="F211" s="877">
        <v>140891.85712424063</v>
      </c>
      <c r="G211" s="706">
        <v>145352.68418905901</v>
      </c>
      <c r="H211" s="706">
        <v>148091.67385801501</v>
      </c>
      <c r="I211" s="706">
        <v>154176.24217600236</v>
      </c>
      <c r="J211" s="706">
        <v>163370.40753511657</v>
      </c>
      <c r="K211" s="705">
        <v>163414.46209002534</v>
      </c>
      <c r="L211" s="706">
        <v>167842.69817333066</v>
      </c>
      <c r="M211" s="706">
        <v>174290.69141555452</v>
      </c>
      <c r="N211" s="707">
        <f>+'Credit Quality'!V33</f>
        <v>185023.38379063757</v>
      </c>
      <c r="O211" s="707">
        <f>+'Credit Quality'!W33</f>
        <v>188746.66032022485</v>
      </c>
      <c r="P211" s="610"/>
      <c r="Q211" s="613"/>
      <c r="R211" s="610"/>
      <c r="U211" s="610"/>
      <c r="V211" s="610"/>
      <c r="W211" s="610"/>
      <c r="X211" s="610"/>
      <c r="Y211" s="610"/>
      <c r="Z211" s="610"/>
      <c r="AA211" s="610"/>
      <c r="AB211" s="610"/>
    </row>
    <row r="212" spans="2:28" x14ac:dyDescent="0.15">
      <c r="B212" s="901" t="s">
        <v>66</v>
      </c>
      <c r="C212" s="911">
        <v>765.56378915659093</v>
      </c>
      <c r="D212" s="912">
        <v>797.40000000000009</v>
      </c>
      <c r="E212" s="912">
        <v>845.5</v>
      </c>
      <c r="F212" s="910">
        <v>848.18869274076735</v>
      </c>
      <c r="G212" s="912">
        <v>907.50493298347124</v>
      </c>
      <c r="H212" s="912">
        <v>946.11662282928501</v>
      </c>
      <c r="I212" s="912">
        <v>1005.4145230597559</v>
      </c>
      <c r="J212" s="912">
        <v>1073.3144717301079</v>
      </c>
      <c r="K212" s="911">
        <v>1141.9519148832405</v>
      </c>
      <c r="L212" s="912">
        <v>1212.3378170894189</v>
      </c>
      <c r="M212" s="912">
        <v>1268.143148076254</v>
      </c>
      <c r="N212" s="910">
        <f>+'Credit Quality'!V34</f>
        <v>1296.4369975088098</v>
      </c>
      <c r="O212" s="910">
        <f>+'Credit Quality'!W34</f>
        <v>1407.3369744377258</v>
      </c>
      <c r="P212" s="610"/>
      <c r="Q212" s="613"/>
      <c r="R212" s="610"/>
      <c r="U212" s="610"/>
      <c r="V212" s="610"/>
      <c r="W212" s="610"/>
      <c r="X212" s="610"/>
      <c r="Y212" s="610"/>
      <c r="Z212" s="610"/>
      <c r="AA212" s="610"/>
      <c r="AB212" s="610"/>
    </row>
    <row r="213" spans="2:28" x14ac:dyDescent="0.15">
      <c r="B213" s="902" t="s">
        <v>67</v>
      </c>
      <c r="C213" s="903">
        <v>6.3845095004636757E-3</v>
      </c>
      <c r="D213" s="904">
        <v>6.3882201668756288E-3</v>
      </c>
      <c r="E213" s="904">
        <v>6.4651546896266959E-3</v>
      </c>
      <c r="F213" s="905">
        <v>6.0201399147774837E-3</v>
      </c>
      <c r="G213" s="904">
        <v>6.2434686916623241E-3</v>
      </c>
      <c r="H213" s="904">
        <v>6.3887225944679899E-3</v>
      </c>
      <c r="I213" s="904">
        <v>6.5212026760388207E-3</v>
      </c>
      <c r="J213" s="904">
        <v>6.569821841813049E-3</v>
      </c>
      <c r="K213" s="903">
        <v>6.9880713143622326E-3</v>
      </c>
      <c r="L213" s="904">
        <v>7.2230596283517868E-3</v>
      </c>
      <c r="M213" s="904">
        <v>7.2760233938866511E-3</v>
      </c>
      <c r="N213" s="905">
        <f>+'Credit Quality'!V35</f>
        <v>7.0068818921601153E-3</v>
      </c>
      <c r="O213" s="905">
        <f>+'Credit Quality'!W35</f>
        <v>7.4562218587076361E-3</v>
      </c>
      <c r="P213" s="610"/>
      <c r="Q213" s="613"/>
      <c r="R213" s="610"/>
      <c r="U213" s="610"/>
      <c r="V213" s="610"/>
      <c r="W213" s="610"/>
      <c r="X213" s="610"/>
      <c r="Y213" s="610"/>
      <c r="Z213" s="610"/>
      <c r="AA213" s="610"/>
      <c r="AB213" s="610"/>
    </row>
    <row r="215" spans="2:28" x14ac:dyDescent="0.15">
      <c r="B215" s="815" t="s">
        <v>265</v>
      </c>
      <c r="Q215" s="610"/>
      <c r="R215" s="610"/>
    </row>
    <row r="216" spans="2:28" x14ac:dyDescent="0.15">
      <c r="B216" s="699" t="s">
        <v>35</v>
      </c>
      <c r="C216" s="913" t="str">
        <f t="shared" ref="C216:I216" si="3">V4</f>
        <v>FY19</v>
      </c>
      <c r="D216" s="913" t="str">
        <f t="shared" si="3"/>
        <v>FY20</v>
      </c>
      <c r="E216" s="913" t="str">
        <f t="shared" si="3"/>
        <v>FY21</v>
      </c>
      <c r="F216" s="913" t="str">
        <f t="shared" si="3"/>
        <v>FY22</v>
      </c>
      <c r="G216" s="913" t="str">
        <f t="shared" si="3"/>
        <v>FY23</v>
      </c>
      <c r="H216" s="913" t="str">
        <f t="shared" si="3"/>
        <v>FY24</v>
      </c>
      <c r="I216" s="913" t="str">
        <f t="shared" si="3"/>
        <v>FY25</v>
      </c>
      <c r="J216" s="913" t="str">
        <f>+Operational!AF3</f>
        <v>FY26</v>
      </c>
      <c r="Q216" s="610"/>
      <c r="R216" s="610"/>
    </row>
    <row r="217" spans="2:28" x14ac:dyDescent="0.15">
      <c r="B217" s="744" t="s">
        <v>36</v>
      </c>
      <c r="C217" s="758">
        <v>0.44400000000000001</v>
      </c>
      <c r="D217" s="759">
        <v>0.42199999999999999</v>
      </c>
      <c r="E217" s="759">
        <v>0.40300000000000002</v>
      </c>
      <c r="F217" s="759">
        <v>0.39400000000000002</v>
      </c>
      <c r="G217" s="759">
        <v>0.376</v>
      </c>
      <c r="H217" s="759">
        <v>0.34499999999999997</v>
      </c>
      <c r="I217" s="759">
        <v>0.33097406585054601</v>
      </c>
      <c r="J217" s="760">
        <f>+Operational!AF33</f>
        <v>0.33</v>
      </c>
    </row>
    <row r="218" spans="2:28" x14ac:dyDescent="0.15">
      <c r="B218" s="748" t="s">
        <v>37</v>
      </c>
      <c r="C218" s="761">
        <v>0.183</v>
      </c>
      <c r="D218" s="762">
        <v>0.17899999999999999</v>
      </c>
      <c r="E218" s="762">
        <v>0.17499999999999999</v>
      </c>
      <c r="F218" s="762">
        <v>0.17299999999999999</v>
      </c>
      <c r="G218" s="762">
        <v>0.17399999999999999</v>
      </c>
      <c r="H218" s="762">
        <v>0.19400000000000001</v>
      </c>
      <c r="I218" s="762">
        <v>0.19956288338300601</v>
      </c>
      <c r="J218" s="763">
        <f>+Operational!AF34</f>
        <v>0.19400000000000001</v>
      </c>
    </row>
    <row r="219" spans="2:28" x14ac:dyDescent="0.15">
      <c r="B219" s="748" t="s">
        <v>40</v>
      </c>
      <c r="C219" s="761">
        <v>0.16800000000000001</v>
      </c>
      <c r="D219" s="762">
        <v>0.161</v>
      </c>
      <c r="E219" s="762">
        <v>0.157</v>
      </c>
      <c r="F219" s="762">
        <v>0.14699999999999999</v>
      </c>
      <c r="G219" s="762">
        <v>0.13700000000000001</v>
      </c>
      <c r="H219" s="762">
        <v>0.129</v>
      </c>
      <c r="I219" s="762">
        <v>0.122662483876244</v>
      </c>
      <c r="J219" s="763">
        <f>+Operational!AF35</f>
        <v>0.11700000000000001</v>
      </c>
    </row>
    <row r="220" spans="2:28" x14ac:dyDescent="0.15">
      <c r="B220" s="748" t="s">
        <v>38</v>
      </c>
      <c r="C220" s="761">
        <v>0.1</v>
      </c>
      <c r="D220" s="762">
        <v>0.104</v>
      </c>
      <c r="E220" s="762">
        <v>0.113</v>
      </c>
      <c r="F220" s="762">
        <v>0.123</v>
      </c>
      <c r="G220" s="762">
        <v>0.129</v>
      </c>
      <c r="H220" s="762">
        <v>0.126</v>
      </c>
      <c r="I220" s="762">
        <v>0.122197747522304</v>
      </c>
      <c r="J220" s="763">
        <f>+Operational!AF36</f>
        <v>0.11899999999999999</v>
      </c>
    </row>
    <row r="221" spans="2:28" x14ac:dyDescent="0.15">
      <c r="B221" s="748" t="s">
        <v>43</v>
      </c>
      <c r="C221" s="761">
        <v>5.0999999999999997E-2</v>
      </c>
      <c r="D221" s="762">
        <v>5.6000000000000001E-2</v>
      </c>
      <c r="E221" s="762">
        <v>5.7000000000000002E-2</v>
      </c>
      <c r="F221" s="762">
        <v>5.6000000000000001E-2</v>
      </c>
      <c r="G221" s="762">
        <v>5.7000000000000002E-2</v>
      </c>
      <c r="H221" s="762">
        <v>5.7000000000000002E-2</v>
      </c>
      <c r="I221" s="762">
        <v>5.5035264135771603E-2</v>
      </c>
      <c r="J221" s="763">
        <f>+Operational!AF37</f>
        <v>5.3999999999999999E-2</v>
      </c>
    </row>
    <row r="222" spans="2:28" x14ac:dyDescent="0.15">
      <c r="B222" s="748" t="s">
        <v>41</v>
      </c>
      <c r="C222" s="761">
        <v>2.5999999999999999E-2</v>
      </c>
      <c r="D222" s="762">
        <v>3.5000000000000003E-2</v>
      </c>
      <c r="E222" s="762">
        <v>4.1000000000000002E-2</v>
      </c>
      <c r="F222" s="762">
        <v>4.2999999999999997E-2</v>
      </c>
      <c r="G222" s="762">
        <v>4.7E-2</v>
      </c>
      <c r="H222" s="762">
        <v>0.05</v>
      </c>
      <c r="I222" s="762">
        <v>5.4830074955264797E-2</v>
      </c>
      <c r="J222" s="763">
        <f>+Operational!AF38</f>
        <v>0.06</v>
      </c>
    </row>
    <row r="223" spans="2:28" x14ac:dyDescent="0.15">
      <c r="B223" s="748" t="s">
        <v>44</v>
      </c>
      <c r="C223" s="761">
        <v>1.9E-2</v>
      </c>
      <c r="D223" s="762">
        <v>2.5999999999999999E-2</v>
      </c>
      <c r="E223" s="762">
        <v>2.9000000000000001E-2</v>
      </c>
      <c r="F223" s="762">
        <v>0.03</v>
      </c>
      <c r="G223" s="762">
        <v>3.5000000000000003E-2</v>
      </c>
      <c r="H223" s="762">
        <v>3.9E-2</v>
      </c>
      <c r="I223" s="762">
        <v>4.4980504579293597E-2</v>
      </c>
      <c r="J223" s="763">
        <f>+Operational!AF39</f>
        <v>0.05</v>
      </c>
    </row>
    <row r="224" spans="2:28" x14ac:dyDescent="0.15">
      <c r="B224" s="748" t="s">
        <v>39</v>
      </c>
      <c r="C224" s="901">
        <v>0</v>
      </c>
      <c r="D224" s="813">
        <v>0</v>
      </c>
      <c r="E224" s="813">
        <v>0</v>
      </c>
      <c r="F224" s="762">
        <v>3.0000000000000001E-3</v>
      </c>
      <c r="G224" s="762">
        <v>1.2999999999999999E-2</v>
      </c>
      <c r="H224" s="762">
        <v>2.5000000000000001E-2</v>
      </c>
      <c r="I224" s="762">
        <v>3.2749956170807497E-2</v>
      </c>
      <c r="J224" s="763">
        <f>+Operational!AF40</f>
        <v>3.7999999999999999E-2</v>
      </c>
    </row>
    <row r="225" spans="2:10" x14ac:dyDescent="0.15">
      <c r="B225" s="748" t="s">
        <v>157</v>
      </c>
      <c r="C225" s="772">
        <v>8.999999999999897E-3</v>
      </c>
      <c r="D225" s="773">
        <v>1.6999999999999904E-2</v>
      </c>
      <c r="E225" s="773">
        <v>2.49999999999998E-2</v>
      </c>
      <c r="F225" s="773">
        <v>3.0999999999999917E-2</v>
      </c>
      <c r="G225" s="773">
        <v>3.1999999999999806E-2</v>
      </c>
      <c r="H225" s="773">
        <v>3.499999999999992E-2</v>
      </c>
      <c r="I225" s="773">
        <v>3.7007019526762441E-2</v>
      </c>
      <c r="J225" s="774">
        <f>+Operational!AF41</f>
        <v>3.7999999999999812E-2</v>
      </c>
    </row>
    <row r="226" spans="2:10" x14ac:dyDescent="0.15">
      <c r="B226" s="914" t="s">
        <v>24</v>
      </c>
      <c r="C226" s="915">
        <v>1</v>
      </c>
      <c r="D226" s="916">
        <v>1.0010000000000001</v>
      </c>
      <c r="E226" s="916">
        <v>0.99900000000000022</v>
      </c>
      <c r="F226" s="916">
        <v>0.99900000000000011</v>
      </c>
      <c r="G226" s="916">
        <v>1.0020000000000002</v>
      </c>
      <c r="H226" s="916">
        <v>1</v>
      </c>
      <c r="I226" s="916">
        <v>1</v>
      </c>
      <c r="J226" s="917">
        <f>+Operational!AF42</f>
        <v>1</v>
      </c>
    </row>
    <row r="227" spans="2:10" x14ac:dyDescent="0.15">
      <c r="B227" s="813"/>
      <c r="C227" s="813"/>
      <c r="D227" s="813"/>
      <c r="E227" s="813"/>
      <c r="F227" s="762"/>
      <c r="G227" s="762"/>
      <c r="H227" s="762"/>
      <c r="I227" s="762"/>
      <c r="J227" s="762"/>
    </row>
    <row r="228" spans="2:10" x14ac:dyDescent="0.15">
      <c r="B228" s="768" t="s">
        <v>48</v>
      </c>
      <c r="C228" s="918" t="str">
        <f t="shared" ref="C228:I228" si="4">C216</f>
        <v>FY19</v>
      </c>
      <c r="D228" s="919" t="str">
        <f t="shared" si="4"/>
        <v>FY20</v>
      </c>
      <c r="E228" s="919" t="str">
        <f t="shared" si="4"/>
        <v>FY21</v>
      </c>
      <c r="F228" s="919" t="str">
        <f t="shared" si="4"/>
        <v>FY22</v>
      </c>
      <c r="G228" s="919" t="str">
        <f t="shared" si="4"/>
        <v>FY23</v>
      </c>
      <c r="H228" s="919" t="str">
        <f t="shared" si="4"/>
        <v>FY24</v>
      </c>
      <c r="I228" s="919" t="str">
        <f t="shared" si="4"/>
        <v>FY25</v>
      </c>
      <c r="J228" s="920" t="str">
        <f>+J216</f>
        <v>FY26</v>
      </c>
    </row>
    <row r="229" spans="2:10" x14ac:dyDescent="0.15">
      <c r="B229" s="744" t="s">
        <v>36</v>
      </c>
      <c r="C229" s="705">
        <v>78</v>
      </c>
      <c r="D229" s="706">
        <v>88</v>
      </c>
      <c r="E229" s="706">
        <v>95</v>
      </c>
      <c r="F229" s="706">
        <v>99</v>
      </c>
      <c r="G229" s="706">
        <v>102</v>
      </c>
      <c r="H229" s="706">
        <v>108</v>
      </c>
      <c r="I229" s="706">
        <v>109</v>
      </c>
      <c r="J229" s="707">
        <f>+Operational!AF45</f>
        <v>111</v>
      </c>
    </row>
    <row r="230" spans="2:10" x14ac:dyDescent="0.15">
      <c r="B230" s="748" t="s">
        <v>37</v>
      </c>
      <c r="C230" s="705">
        <v>38</v>
      </c>
      <c r="D230" s="706">
        <v>42</v>
      </c>
      <c r="E230" s="706">
        <v>44</v>
      </c>
      <c r="F230" s="706">
        <v>45</v>
      </c>
      <c r="G230" s="706">
        <v>48</v>
      </c>
      <c r="H230" s="706">
        <v>49</v>
      </c>
      <c r="I230" s="706">
        <v>51</v>
      </c>
      <c r="J230" s="707">
        <f>+Operational!AF46</f>
        <v>50</v>
      </c>
    </row>
    <row r="231" spans="2:10" x14ac:dyDescent="0.15">
      <c r="B231" s="748" t="s">
        <v>40</v>
      </c>
      <c r="C231" s="705">
        <v>32</v>
      </c>
      <c r="D231" s="706">
        <v>37</v>
      </c>
      <c r="E231" s="706">
        <v>39</v>
      </c>
      <c r="F231" s="706">
        <v>42</v>
      </c>
      <c r="G231" s="706">
        <v>44</v>
      </c>
      <c r="H231" s="706">
        <v>45</v>
      </c>
      <c r="I231" s="706">
        <v>46</v>
      </c>
      <c r="J231" s="707">
        <f>+Operational!AF47</f>
        <v>55</v>
      </c>
    </row>
    <row r="232" spans="2:10" x14ac:dyDescent="0.15">
      <c r="B232" s="748" t="s">
        <v>38</v>
      </c>
      <c r="C232" s="705">
        <v>32</v>
      </c>
      <c r="D232" s="706">
        <v>36</v>
      </c>
      <c r="E232" s="706">
        <v>40</v>
      </c>
      <c r="F232" s="706">
        <v>45</v>
      </c>
      <c r="G232" s="706">
        <v>49</v>
      </c>
      <c r="H232" s="706">
        <v>51</v>
      </c>
      <c r="I232" s="706">
        <v>55</v>
      </c>
      <c r="J232" s="707">
        <f>+Operational!AF48</f>
        <v>55</v>
      </c>
    </row>
    <row r="233" spans="2:10" x14ac:dyDescent="0.15">
      <c r="B233" s="748" t="s">
        <v>43</v>
      </c>
      <c r="C233" s="705">
        <v>2</v>
      </c>
      <c r="D233" s="706">
        <v>4</v>
      </c>
      <c r="E233" s="706">
        <v>4</v>
      </c>
      <c r="F233" s="706">
        <v>4</v>
      </c>
      <c r="G233" s="706">
        <v>4</v>
      </c>
      <c r="H233" s="706">
        <v>5</v>
      </c>
      <c r="I233" s="706">
        <v>5</v>
      </c>
      <c r="J233" s="707">
        <f>+Operational!AF49</f>
        <v>5</v>
      </c>
    </row>
    <row r="234" spans="2:10" x14ac:dyDescent="0.15">
      <c r="B234" s="748" t="s">
        <v>44</v>
      </c>
      <c r="C234" s="705">
        <v>11</v>
      </c>
      <c r="D234" s="706">
        <v>14</v>
      </c>
      <c r="E234" s="706">
        <v>15</v>
      </c>
      <c r="F234" s="706">
        <v>17</v>
      </c>
      <c r="G234" s="706">
        <v>17</v>
      </c>
      <c r="H234" s="706">
        <v>18</v>
      </c>
      <c r="I234" s="706">
        <v>20</v>
      </c>
      <c r="J234" s="707">
        <f>+Operational!AF50</f>
        <v>20</v>
      </c>
    </row>
    <row r="235" spans="2:10" x14ac:dyDescent="0.15">
      <c r="B235" s="748" t="s">
        <v>41</v>
      </c>
      <c r="C235" s="705">
        <v>6</v>
      </c>
      <c r="D235" s="706">
        <v>15</v>
      </c>
      <c r="E235" s="706">
        <v>21</v>
      </c>
      <c r="F235" s="706">
        <v>24</v>
      </c>
      <c r="G235" s="706">
        <v>27</v>
      </c>
      <c r="H235" s="706">
        <v>32</v>
      </c>
      <c r="I235" s="706">
        <v>39</v>
      </c>
      <c r="J235" s="707">
        <f>+Operational!AF51</f>
        <v>48</v>
      </c>
    </row>
    <row r="236" spans="2:10" x14ac:dyDescent="0.15">
      <c r="B236" s="748" t="s">
        <v>45</v>
      </c>
      <c r="C236" s="705">
        <v>5</v>
      </c>
      <c r="D236" s="706">
        <v>5</v>
      </c>
      <c r="E236" s="706">
        <v>7</v>
      </c>
      <c r="F236" s="706">
        <v>8</v>
      </c>
      <c r="G236" s="706">
        <v>9</v>
      </c>
      <c r="H236" s="706">
        <v>9</v>
      </c>
      <c r="I236" s="706">
        <v>9</v>
      </c>
      <c r="J236" s="707">
        <f>+Operational!AF52</f>
        <v>9</v>
      </c>
    </row>
    <row r="237" spans="2:10" x14ac:dyDescent="0.15">
      <c r="B237" s="748" t="s">
        <v>46</v>
      </c>
      <c r="C237" s="705">
        <v>1</v>
      </c>
      <c r="D237" s="706">
        <v>1</v>
      </c>
      <c r="E237" s="706">
        <v>2</v>
      </c>
      <c r="F237" s="706">
        <v>2</v>
      </c>
      <c r="G237" s="706">
        <v>3</v>
      </c>
      <c r="H237" s="706">
        <v>5</v>
      </c>
      <c r="I237" s="706">
        <v>5</v>
      </c>
      <c r="J237" s="707">
        <f>+Operational!AF53</f>
        <v>4</v>
      </c>
    </row>
    <row r="238" spans="2:10" x14ac:dyDescent="0.15">
      <c r="B238" s="748" t="s">
        <v>42</v>
      </c>
      <c r="C238" s="705">
        <v>5</v>
      </c>
      <c r="D238" s="706">
        <v>8</v>
      </c>
      <c r="E238" s="706">
        <v>9</v>
      </c>
      <c r="F238" s="706">
        <v>9</v>
      </c>
      <c r="G238" s="706">
        <v>9</v>
      </c>
      <c r="H238" s="706">
        <v>9</v>
      </c>
      <c r="I238" s="706">
        <v>9</v>
      </c>
      <c r="J238" s="707">
        <f>+Operational!AF54</f>
        <v>9</v>
      </c>
    </row>
    <row r="239" spans="2:10" x14ac:dyDescent="0.15">
      <c r="B239" s="748" t="s">
        <v>116</v>
      </c>
      <c r="C239" s="705">
        <v>0</v>
      </c>
      <c r="D239" s="706">
        <v>0</v>
      </c>
      <c r="E239" s="706">
        <v>4</v>
      </c>
      <c r="F239" s="706">
        <v>4</v>
      </c>
      <c r="G239" s="706">
        <v>4</v>
      </c>
      <c r="H239" s="706">
        <v>4</v>
      </c>
      <c r="I239" s="706">
        <v>4</v>
      </c>
      <c r="J239" s="707">
        <f>+Operational!AF55</f>
        <v>4</v>
      </c>
    </row>
    <row r="240" spans="2:10" x14ac:dyDescent="0.15">
      <c r="B240" s="748" t="s">
        <v>39</v>
      </c>
      <c r="C240" s="705">
        <v>0</v>
      </c>
      <c r="D240" s="706">
        <v>0</v>
      </c>
      <c r="E240" s="706">
        <v>0</v>
      </c>
      <c r="F240" s="706">
        <v>11</v>
      </c>
      <c r="G240" s="706">
        <v>24</v>
      </c>
      <c r="H240" s="706">
        <v>26</v>
      </c>
      <c r="I240" s="706">
        <v>38</v>
      </c>
      <c r="J240" s="707">
        <f>+Operational!AF56</f>
        <v>38</v>
      </c>
    </row>
    <row r="241" spans="2:10" x14ac:dyDescent="0.15">
      <c r="B241" s="748" t="s">
        <v>47</v>
      </c>
      <c r="C241" s="705">
        <v>0</v>
      </c>
      <c r="D241" s="706">
        <v>0</v>
      </c>
      <c r="E241" s="706">
        <v>0</v>
      </c>
      <c r="F241" s="706">
        <v>4</v>
      </c>
      <c r="G241" s="706">
        <v>6</v>
      </c>
      <c r="H241" s="706">
        <v>6</v>
      </c>
      <c r="I241" s="706">
        <v>6</v>
      </c>
      <c r="J241" s="707">
        <f>+Operational!AF57</f>
        <v>6</v>
      </c>
    </row>
    <row r="242" spans="2:10" x14ac:dyDescent="0.15">
      <c r="B242" s="748" t="s">
        <v>133</v>
      </c>
      <c r="C242" s="705">
        <v>0</v>
      </c>
      <c r="D242" s="706">
        <v>0</v>
      </c>
      <c r="E242" s="706">
        <v>0</v>
      </c>
      <c r="F242" s="706">
        <v>0</v>
      </c>
      <c r="G242" s="706">
        <v>0</v>
      </c>
      <c r="H242" s="706">
        <v>0</v>
      </c>
      <c r="I242" s="706">
        <v>1</v>
      </c>
      <c r="J242" s="707">
        <f>+Operational!AF58</f>
        <v>20</v>
      </c>
    </row>
    <row r="243" spans="2:10" x14ac:dyDescent="0.15">
      <c r="B243" s="748" t="s">
        <v>279</v>
      </c>
      <c r="C243" s="705"/>
      <c r="D243" s="706"/>
      <c r="E243" s="706"/>
      <c r="F243" s="706"/>
      <c r="G243" s="706"/>
      <c r="H243" s="706"/>
      <c r="I243" s="706"/>
      <c r="J243" s="707">
        <f>+Operational!AF59</f>
        <v>1</v>
      </c>
    </row>
    <row r="244" spans="2:10" x14ac:dyDescent="0.15">
      <c r="B244" s="768" t="s">
        <v>24</v>
      </c>
      <c r="C244" s="855">
        <v>210</v>
      </c>
      <c r="D244" s="856">
        <v>250</v>
      </c>
      <c r="E244" s="856">
        <v>280</v>
      </c>
      <c r="F244" s="856">
        <v>314</v>
      </c>
      <c r="G244" s="856">
        <v>346</v>
      </c>
      <c r="H244" s="856">
        <v>367</v>
      </c>
      <c r="I244" s="856">
        <f>SUM(I229:I242)</f>
        <v>397</v>
      </c>
      <c r="J244" s="857">
        <f>SUM(J229:J243)</f>
        <v>435</v>
      </c>
    </row>
    <row r="245" spans="2:10" x14ac:dyDescent="0.15">
      <c r="C245" s="612"/>
      <c r="D245" s="612"/>
      <c r="E245" s="612"/>
      <c r="F245" s="612"/>
      <c r="G245" s="612"/>
      <c r="H245" s="612"/>
      <c r="I245" s="612"/>
    </row>
    <row r="246" spans="2:10" x14ac:dyDescent="0.15">
      <c r="B246" s="864" t="s">
        <v>186</v>
      </c>
      <c r="C246" s="700" t="str">
        <f t="shared" ref="C246:I246" si="5">C254</f>
        <v>FY19</v>
      </c>
      <c r="D246" s="618" t="str">
        <f t="shared" si="5"/>
        <v>FY20</v>
      </c>
      <c r="E246" s="618" t="str">
        <f t="shared" si="5"/>
        <v>FY21</v>
      </c>
      <c r="F246" s="618" t="str">
        <f t="shared" si="5"/>
        <v>FY22</v>
      </c>
      <c r="G246" s="618" t="str">
        <f t="shared" si="5"/>
        <v>FY23</v>
      </c>
      <c r="H246" s="618" t="str">
        <f t="shared" si="5"/>
        <v>FY24</v>
      </c>
      <c r="I246" s="618" t="str">
        <f t="shared" si="5"/>
        <v>FY25</v>
      </c>
      <c r="J246" s="701" t="str">
        <f>+J228</f>
        <v>FY26</v>
      </c>
    </row>
    <row r="247" spans="2:10" x14ac:dyDescent="0.15">
      <c r="B247" s="748" t="s">
        <v>187</v>
      </c>
      <c r="C247" s="921"/>
      <c r="D247" s="783">
        <v>338.960506721684</v>
      </c>
      <c r="E247" s="783">
        <v>356.7657744449449</v>
      </c>
      <c r="F247" s="783">
        <v>382.16201967862287</v>
      </c>
      <c r="G247" s="783">
        <v>429.29278132198482</v>
      </c>
      <c r="H247" s="783">
        <v>485.62823678355119</v>
      </c>
      <c r="I247" s="783">
        <v>534.5595811518325</v>
      </c>
      <c r="J247" s="784">
        <f>+Operational!AF64</f>
        <v>563.74302884615383</v>
      </c>
    </row>
    <row r="248" spans="2:10" x14ac:dyDescent="0.15">
      <c r="B248" s="748" t="s">
        <v>188</v>
      </c>
      <c r="C248" s="921"/>
      <c r="D248" s="783">
        <v>23.096109182635853</v>
      </c>
      <c r="E248" s="783">
        <v>23.934919045040608</v>
      </c>
      <c r="F248" s="783">
        <v>23.750182013925716</v>
      </c>
      <c r="G248" s="783">
        <v>25.171751570052415</v>
      </c>
      <c r="H248" s="783">
        <v>28.594676094365511</v>
      </c>
      <c r="I248" s="783">
        <v>30.688572287345959</v>
      </c>
      <c r="J248" s="784">
        <f>+Operational!AF65</f>
        <v>31.516879451686602</v>
      </c>
    </row>
    <row r="249" spans="2:10" x14ac:dyDescent="0.15">
      <c r="B249" s="748" t="s">
        <v>189</v>
      </c>
      <c r="C249" s="705"/>
      <c r="D249" s="783">
        <v>127.40826086956523</v>
      </c>
      <c r="E249" s="783">
        <v>100.25863251969436</v>
      </c>
      <c r="F249" s="783">
        <v>121.28738582491582</v>
      </c>
      <c r="G249" s="783">
        <v>152.25882140745432</v>
      </c>
      <c r="H249" s="783">
        <v>156.58401122019634</v>
      </c>
      <c r="I249" s="783">
        <v>160.28811518324608</v>
      </c>
      <c r="J249" s="784">
        <f>+Operational!AF66</f>
        <v>162.86269230769233</v>
      </c>
    </row>
    <row r="250" spans="2:10" x14ac:dyDescent="0.15">
      <c r="B250" s="748" t="s">
        <v>190</v>
      </c>
      <c r="C250" s="705"/>
      <c r="D250" s="783">
        <v>8.6813509109761515</v>
      </c>
      <c r="E250" s="783">
        <v>6.7262120551187357</v>
      </c>
      <c r="F250" s="783">
        <v>7.5376341473111523</v>
      </c>
      <c r="G250" s="783">
        <v>8.9277560526758926</v>
      </c>
      <c r="H250" s="783">
        <v>9.2199521017425052</v>
      </c>
      <c r="I250" s="783">
        <v>9.2019927862939586</v>
      </c>
      <c r="J250" s="784">
        <f>+Operational!AF67</f>
        <v>9.1050772745598714</v>
      </c>
    </row>
    <row r="251" spans="2:10" x14ac:dyDescent="0.15">
      <c r="B251" s="868" t="s">
        <v>191</v>
      </c>
      <c r="C251" s="852"/>
      <c r="D251" s="853">
        <v>15</v>
      </c>
      <c r="E251" s="853">
        <v>15</v>
      </c>
      <c r="F251" s="853">
        <v>16</v>
      </c>
      <c r="G251" s="853">
        <v>17</v>
      </c>
      <c r="H251" s="853">
        <v>17</v>
      </c>
      <c r="I251" s="853">
        <v>17</v>
      </c>
      <c r="J251" s="854">
        <f>+Operational!AF68</f>
        <v>18</v>
      </c>
    </row>
    <row r="252" spans="2:10" x14ac:dyDescent="0.15">
      <c r="B252" s="706"/>
      <c r="C252" s="706"/>
      <c r="D252" s="706"/>
      <c r="E252" s="706"/>
      <c r="F252" s="706"/>
      <c r="G252" s="706"/>
      <c r="H252" s="706"/>
      <c r="I252" s="706"/>
    </row>
    <row r="253" spans="2:10" x14ac:dyDescent="0.15">
      <c r="B253" s="815" t="s">
        <v>264</v>
      </c>
      <c r="C253" s="612"/>
      <c r="D253" s="612"/>
      <c r="E253" s="612"/>
      <c r="F253" s="612"/>
      <c r="G253" s="612"/>
      <c r="H253" s="612"/>
      <c r="I253" s="612"/>
    </row>
    <row r="254" spans="2:10" x14ac:dyDescent="0.15">
      <c r="B254" s="699" t="s">
        <v>163</v>
      </c>
      <c r="C254" s="740" t="s">
        <v>6</v>
      </c>
      <c r="D254" s="741" t="s">
        <v>7</v>
      </c>
      <c r="E254" s="741" t="s">
        <v>8</v>
      </c>
      <c r="F254" s="741" t="s">
        <v>9</v>
      </c>
      <c r="G254" s="741" t="s">
        <v>10</v>
      </c>
      <c r="H254" s="741" t="s">
        <v>98</v>
      </c>
      <c r="I254" s="742" t="s">
        <v>239</v>
      </c>
      <c r="J254" s="742" t="str">
        <f>+J246</f>
        <v>FY26</v>
      </c>
    </row>
    <row r="255" spans="2:10" x14ac:dyDescent="0.15">
      <c r="B255" s="870" t="s">
        <v>145</v>
      </c>
      <c r="C255" s="871">
        <v>222.70436914221301</v>
      </c>
      <c r="D255" s="872">
        <v>284.11734000000001</v>
      </c>
      <c r="E255" s="872">
        <v>739.13531215617297</v>
      </c>
      <c r="F255" s="872">
        <v>903.6</v>
      </c>
      <c r="G255" s="872">
        <v>1066.9000000000001</v>
      </c>
      <c r="H255" s="872">
        <v>1318.5775269907931</v>
      </c>
      <c r="I255" s="873">
        <v>1763.3902252789906</v>
      </c>
      <c r="J255" s="873">
        <f>+'Credit Quality'!AF4</f>
        <v>1937.6320021720921</v>
      </c>
    </row>
    <row r="256" spans="2:10" x14ac:dyDescent="0.15">
      <c r="B256" s="874" t="s">
        <v>146</v>
      </c>
      <c r="C256" s="875">
        <v>174.12282026047251</v>
      </c>
      <c r="D256" s="876">
        <v>210.19226300000003</v>
      </c>
      <c r="E256" s="876">
        <v>537.75514715617305</v>
      </c>
      <c r="F256" s="876">
        <v>695.26335169603396</v>
      </c>
      <c r="G256" s="876">
        <v>779.80000000000007</v>
      </c>
      <c r="H256" s="876">
        <v>938.6615135585289</v>
      </c>
      <c r="I256" s="877">
        <v>1191.4636147403394</v>
      </c>
      <c r="J256" s="877">
        <f>+'Credit Quality'!AF5</f>
        <v>1241.1267342076453</v>
      </c>
    </row>
    <row r="257" spans="2:10" x14ac:dyDescent="0.15">
      <c r="B257" s="748" t="s">
        <v>147</v>
      </c>
      <c r="C257" s="878">
        <v>4.7000000000000002E-3</v>
      </c>
      <c r="D257" s="879">
        <v>4.5999999999999999E-3</v>
      </c>
      <c r="E257" s="879">
        <v>9.7999999999999997E-3</v>
      </c>
      <c r="F257" s="879">
        <v>9.9000000000000008E-3</v>
      </c>
      <c r="G257" s="879">
        <v>9.2388934184662388E-3</v>
      </c>
      <c r="H257" s="879">
        <v>9.3587917321395798E-3</v>
      </c>
      <c r="I257" s="880">
        <v>1.0793816651892411E-2</v>
      </c>
      <c r="J257" s="880">
        <f>+'Credit Quality'!AF6</f>
        <v>1.0472362803420629E-2</v>
      </c>
    </row>
    <row r="258" spans="2:10" x14ac:dyDescent="0.15">
      <c r="B258" s="748" t="s">
        <v>148</v>
      </c>
      <c r="C258" s="878">
        <v>3.7000000000000002E-3</v>
      </c>
      <c r="D258" s="879">
        <v>3.3999999999999998E-3</v>
      </c>
      <c r="E258" s="879">
        <v>7.1000000000000004E-3</v>
      </c>
      <c r="F258" s="879">
        <v>7.7000000000000002E-3</v>
      </c>
      <c r="G258" s="879">
        <v>6.7952650428141602E-3</v>
      </c>
      <c r="H258" s="879">
        <v>6.702634534052186E-3</v>
      </c>
      <c r="I258" s="880">
        <v>7.3412504947023517E-3</v>
      </c>
      <c r="J258" s="880">
        <f>+'Credit Quality'!AF7</f>
        <v>6.7552787213359519E-3</v>
      </c>
    </row>
    <row r="259" spans="2:10" x14ac:dyDescent="0.15">
      <c r="B259" s="748" t="s">
        <v>149</v>
      </c>
      <c r="C259" s="882">
        <v>3.4299999999999997E-2</v>
      </c>
      <c r="D259" s="881">
        <v>2.4299999999999999E-2</v>
      </c>
      <c r="E259" s="881">
        <v>6.3700000000000007E-2</v>
      </c>
      <c r="F259" s="881">
        <v>4.4699999999999997E-2</v>
      </c>
      <c r="G259" s="881">
        <v>3.301213985249235E-2</v>
      </c>
      <c r="H259" s="881">
        <v>3.1199999999999999E-2</v>
      </c>
      <c r="I259" s="883">
        <v>3.39E-2</v>
      </c>
      <c r="J259" s="883">
        <f>+'Credit Quality'!AF8</f>
        <v>3.1699999999999999E-2</v>
      </c>
    </row>
    <row r="260" spans="2:10" x14ac:dyDescent="0.15">
      <c r="B260" s="806" t="s">
        <v>150</v>
      </c>
      <c r="C260" s="884">
        <v>1.8408488522229029E-3</v>
      </c>
      <c r="D260" s="885">
        <v>2.309057585792044E-3</v>
      </c>
      <c r="E260" s="885">
        <v>4.4696554742849649E-3</v>
      </c>
      <c r="F260" s="885">
        <v>2.2627339472700491E-3</v>
      </c>
      <c r="G260" s="885">
        <v>1.0169405683210333E-3</v>
      </c>
      <c r="H260" s="885">
        <v>1.635399273453449E-3</v>
      </c>
      <c r="I260" s="886">
        <v>1.5438764816289043E-3</v>
      </c>
      <c r="J260" s="886">
        <f>+'Credit Quality'!AF9</f>
        <v>1.6933748238706135E-3</v>
      </c>
    </row>
    <row r="261" spans="2:10" x14ac:dyDescent="0.15">
      <c r="B261" s="750" t="s">
        <v>130</v>
      </c>
      <c r="C261" s="922"/>
      <c r="D261" s="923"/>
      <c r="E261" s="923"/>
      <c r="F261" s="923"/>
      <c r="G261" s="923"/>
      <c r="H261" s="923"/>
      <c r="I261" s="924"/>
      <c r="J261" s="924">
        <f>+'Credit Quality'!AF10</f>
        <v>0</v>
      </c>
    </row>
    <row r="262" spans="2:10" x14ac:dyDescent="0.15">
      <c r="B262" s="744" t="s">
        <v>129</v>
      </c>
      <c r="C262" s="894">
        <v>5.3E-3</v>
      </c>
      <c r="D262" s="895">
        <v>5.1999999999999998E-3</v>
      </c>
      <c r="E262" s="895">
        <v>0.01</v>
      </c>
      <c r="F262" s="895">
        <v>9.5999999999999992E-3</v>
      </c>
      <c r="G262" s="895">
        <v>8.9999999999999993E-3</v>
      </c>
      <c r="H262" s="895">
        <v>8.8000000000000005E-3</v>
      </c>
      <c r="I262" s="896">
        <v>1.0200000000000001E-2</v>
      </c>
      <c r="J262" s="896">
        <f>+'Credit Quality'!AF11</f>
        <v>1.03E-2</v>
      </c>
    </row>
    <row r="263" spans="2:10" x14ac:dyDescent="0.15">
      <c r="B263" s="806" t="s">
        <v>143</v>
      </c>
      <c r="C263" s="884">
        <v>2.7000000000000001E-3</v>
      </c>
      <c r="D263" s="885">
        <v>2.7000000000000001E-3</v>
      </c>
      <c r="E263" s="885">
        <v>8.9999999999999993E-3</v>
      </c>
      <c r="F263" s="885">
        <v>1.11E-2</v>
      </c>
      <c r="G263" s="885">
        <v>9.9000000000000008E-3</v>
      </c>
      <c r="H263" s="885">
        <v>1.1599999999999999E-2</v>
      </c>
      <c r="I263" s="886">
        <v>1.32E-2</v>
      </c>
      <c r="J263" s="886">
        <f>+'Credit Quality'!AF12</f>
        <v>1.11E-2</v>
      </c>
    </row>
    <row r="264" spans="2:10" x14ac:dyDescent="0.15">
      <c r="C264" s="612"/>
      <c r="D264" s="612"/>
      <c r="E264" s="612"/>
      <c r="F264" s="612"/>
      <c r="G264" s="612"/>
      <c r="H264" s="612"/>
      <c r="I264" s="612"/>
      <c r="J264" s="612"/>
    </row>
    <row r="265" spans="2:10" x14ac:dyDescent="0.15">
      <c r="B265" s="617" t="s">
        <v>140</v>
      </c>
      <c r="C265" s="740" t="s">
        <v>167</v>
      </c>
      <c r="D265" s="741" t="s">
        <v>7</v>
      </c>
      <c r="E265" s="741" t="s">
        <v>8</v>
      </c>
      <c r="F265" s="741" t="s">
        <v>9</v>
      </c>
      <c r="G265" s="741" t="s">
        <v>10</v>
      </c>
      <c r="H265" s="741" t="s">
        <v>98</v>
      </c>
      <c r="I265" s="741" t="s">
        <v>239</v>
      </c>
      <c r="J265" s="742" t="str">
        <f>+'Credit Quality'!AF14</f>
        <v>FY26</v>
      </c>
    </row>
    <row r="266" spans="2:10" x14ac:dyDescent="0.15">
      <c r="B266" s="901" t="s">
        <v>52</v>
      </c>
      <c r="C266" s="925">
        <v>222.70436914221301</v>
      </c>
      <c r="D266" s="876">
        <v>284.11734000000001</v>
      </c>
      <c r="E266" s="876">
        <v>739.13531215617297</v>
      </c>
      <c r="F266" s="876">
        <v>903.6</v>
      </c>
      <c r="G266" s="876">
        <v>1066.9000000000001</v>
      </c>
      <c r="H266" s="876">
        <v>1318.5775269907931</v>
      </c>
      <c r="I266" s="876">
        <v>1763.3902252789906</v>
      </c>
      <c r="J266" s="877">
        <f>+'Credit Quality'!AF15</f>
        <v>1937.6320021720921</v>
      </c>
    </row>
    <row r="267" spans="2:10" x14ac:dyDescent="0.15">
      <c r="B267" s="901" t="s">
        <v>53</v>
      </c>
      <c r="C267" s="926">
        <v>4.7000000000000002E-3</v>
      </c>
      <c r="D267" s="879">
        <v>4.5811601914992816E-3</v>
      </c>
      <c r="E267" s="879">
        <v>9.7603122128634579E-3</v>
      </c>
      <c r="F267" s="879">
        <v>9.9102798666642154E-3</v>
      </c>
      <c r="G267" s="879">
        <v>9.1999999999999998E-3</v>
      </c>
      <c r="H267" s="879">
        <v>9.3587915860038028E-3</v>
      </c>
      <c r="I267" s="879">
        <v>1.0793816651892411E-2</v>
      </c>
      <c r="J267" s="880">
        <f>+'Credit Quality'!AF16</f>
        <v>1.0472362803420629E-2</v>
      </c>
    </row>
    <row r="268" spans="2:10" x14ac:dyDescent="0.15">
      <c r="B268" s="901" t="s">
        <v>54</v>
      </c>
      <c r="C268" s="875">
        <v>48.581548881740503</v>
      </c>
      <c r="D268" s="876">
        <v>73.925077000000002</v>
      </c>
      <c r="E268" s="876">
        <v>201.38016499999998</v>
      </c>
      <c r="F268" s="876">
        <v>208.33664830396606</v>
      </c>
      <c r="G268" s="876">
        <v>287.10000000000002</v>
      </c>
      <c r="H268" s="876">
        <v>379.91601343226421</v>
      </c>
      <c r="I268" s="876">
        <v>571.92661053865106</v>
      </c>
      <c r="J268" s="877">
        <f>+'Credit Quality'!AF17</f>
        <v>696.50526796444694</v>
      </c>
    </row>
    <row r="269" spans="2:10" x14ac:dyDescent="0.15">
      <c r="B269" s="901" t="s">
        <v>55</v>
      </c>
      <c r="C269" s="875">
        <v>174.12282026047251</v>
      </c>
      <c r="D269" s="876">
        <v>210.19226300000003</v>
      </c>
      <c r="E269" s="876">
        <v>537.75514715617305</v>
      </c>
      <c r="F269" s="876">
        <v>695.26335169603396</v>
      </c>
      <c r="G269" s="876">
        <v>779.80000000000007</v>
      </c>
      <c r="H269" s="876">
        <v>938.6615135585289</v>
      </c>
      <c r="I269" s="876">
        <v>1191.4636147403394</v>
      </c>
      <c r="J269" s="877">
        <f>+'Credit Quality'!AF18</f>
        <v>1241.1267342076453</v>
      </c>
    </row>
    <row r="270" spans="2:10" x14ac:dyDescent="0.15">
      <c r="B270" s="902" t="s">
        <v>56</v>
      </c>
      <c r="C270" s="903">
        <v>0.21814367211950669</v>
      </c>
      <c r="D270" s="904">
        <v>0.26019206360301694</v>
      </c>
      <c r="E270" s="904">
        <v>0.27245371948546548</v>
      </c>
      <c r="F270" s="904">
        <v>0.23056291312966581</v>
      </c>
      <c r="G270" s="904">
        <v>0.26909738494704283</v>
      </c>
      <c r="H270" s="904">
        <v>0.28812565484814068</v>
      </c>
      <c r="I270" s="904">
        <v>0.32433354928468261</v>
      </c>
      <c r="J270" s="905">
        <f>+'Credit Quality'!AF19</f>
        <v>0.35946209970916154</v>
      </c>
    </row>
    <row r="271" spans="2:10" x14ac:dyDescent="0.15">
      <c r="B271" s="901" t="s">
        <v>57</v>
      </c>
      <c r="C271" s="875"/>
      <c r="D271" s="876">
        <v>650.69999999999993</v>
      </c>
      <c r="E271" s="876">
        <v>2209.414246786519</v>
      </c>
      <c r="F271" s="876">
        <v>2702.7849293203258</v>
      </c>
      <c r="G271" s="876">
        <v>2093.5</v>
      </c>
      <c r="H271" s="876">
        <v>2065.8658199373167</v>
      </c>
      <c r="I271" s="876">
        <v>2408.0263487186003</v>
      </c>
      <c r="J271" s="877">
        <f>+'Credit Quality'!AF21</f>
        <v>2368.6705941429555</v>
      </c>
    </row>
    <row r="272" spans="2:10" x14ac:dyDescent="0.15">
      <c r="B272" s="901" t="s">
        <v>58</v>
      </c>
      <c r="C272" s="906"/>
      <c r="D272" s="907">
        <v>1.0492006354165436E-2</v>
      </c>
      <c r="E272" s="907">
        <v>2.9175406047476961E-2</v>
      </c>
      <c r="F272" s="907">
        <v>2.9643150244327499E-2</v>
      </c>
      <c r="G272" s="907">
        <v>1.8100000000000002E-2</v>
      </c>
      <c r="H272" s="907">
        <v>1.4662776558588508E-2</v>
      </c>
      <c r="I272" s="907">
        <v>1.4739672778260002E-2</v>
      </c>
      <c r="J272" s="908">
        <f>+'Credit Quality'!AF22</f>
        <v>1.2802006674049453E-2</v>
      </c>
    </row>
    <row r="273" spans="2:28" x14ac:dyDescent="0.15">
      <c r="B273" s="901" t="s">
        <v>59</v>
      </c>
      <c r="C273" s="875"/>
      <c r="D273" s="927">
        <v>7.7200000000000006</v>
      </c>
      <c r="E273" s="927">
        <v>84.536138895177189</v>
      </c>
      <c r="F273" s="927">
        <v>218.00820219496524</v>
      </c>
      <c r="G273" s="927">
        <v>169.4</v>
      </c>
      <c r="H273" s="927">
        <v>152.49850539456565</v>
      </c>
      <c r="I273" s="927">
        <v>267.46458104958782</v>
      </c>
      <c r="J273" s="928">
        <f>+'Credit Quality'!AF23</f>
        <v>235.46655958635779</v>
      </c>
    </row>
    <row r="274" spans="2:28" x14ac:dyDescent="0.15">
      <c r="B274" s="901" t="s">
        <v>60</v>
      </c>
      <c r="C274" s="875"/>
      <c r="D274" s="876">
        <v>642.9799999999999</v>
      </c>
      <c r="E274" s="876">
        <v>2124.8781078913416</v>
      </c>
      <c r="F274" s="876">
        <v>2484.7767271253606</v>
      </c>
      <c r="G274" s="876">
        <v>1924.1</v>
      </c>
      <c r="H274" s="876">
        <v>1913.367314542751</v>
      </c>
      <c r="I274" s="876">
        <v>2140.5617676690126</v>
      </c>
      <c r="J274" s="877">
        <f>+'Credit Quality'!AF24</f>
        <v>2133.2040345565974</v>
      </c>
    </row>
    <row r="275" spans="2:28" x14ac:dyDescent="0.15">
      <c r="B275" s="902" t="s">
        <v>61</v>
      </c>
      <c r="C275" s="903"/>
      <c r="D275" s="904">
        <v>1.1864146303980361E-2</v>
      </c>
      <c r="E275" s="904">
        <v>3.8261787719587215E-2</v>
      </c>
      <c r="F275" s="904">
        <v>8.0660580806845017E-2</v>
      </c>
      <c r="G275" s="904">
        <v>8.0917124432768106E-2</v>
      </c>
      <c r="H275" s="904">
        <v>7.3818204417164357E-2</v>
      </c>
      <c r="I275" s="904">
        <v>0.11107211563192222</v>
      </c>
      <c r="J275" s="905">
        <f>+'Credit Quality'!AF25</f>
        <v>9.9408740146730068E-2</v>
      </c>
    </row>
    <row r="276" spans="2:28" x14ac:dyDescent="0.15">
      <c r="B276" s="901" t="s">
        <v>168</v>
      </c>
      <c r="C276" s="875">
        <v>47149.860295404702</v>
      </c>
      <c r="D276" s="876">
        <v>61083.826000000001</v>
      </c>
      <c r="E276" s="876">
        <v>72780.105020573799</v>
      </c>
      <c r="F276" s="876">
        <v>87571.006897627522</v>
      </c>
      <c r="G276" s="876">
        <v>112318.39999999999</v>
      </c>
      <c r="H276" s="876">
        <v>137507.41377731253</v>
      </c>
      <c r="I276" s="876">
        <v>159198.99096111898</v>
      </c>
      <c r="J276" s="877">
        <f>+'Credit Quality'!AF27</f>
        <v>180717.08119432253</v>
      </c>
    </row>
    <row r="277" spans="2:28" x14ac:dyDescent="0.15">
      <c r="B277" s="901" t="s">
        <v>62</v>
      </c>
      <c r="C277" s="906">
        <v>0.99529887455494082</v>
      </c>
      <c r="D277" s="907">
        <v>0.98492683345433529</v>
      </c>
      <c r="E277" s="907">
        <v>0.96106428173965963</v>
      </c>
      <c r="F277" s="907">
        <v>0.96044656988900823</v>
      </c>
      <c r="G277" s="907">
        <v>0.97260000000000002</v>
      </c>
      <c r="H277" s="907">
        <v>0.97597843185540767</v>
      </c>
      <c r="I277" s="907">
        <v>0.97446651056984757</v>
      </c>
      <c r="J277" s="908">
        <f>+'Credit Quality'!AF28</f>
        <v>0.97672563052252992</v>
      </c>
    </row>
    <row r="278" spans="2:28" x14ac:dyDescent="0.15">
      <c r="B278" s="901" t="s">
        <v>63</v>
      </c>
      <c r="C278" s="875">
        <v>79.083058345460103</v>
      </c>
      <c r="D278" s="876">
        <v>128.994</v>
      </c>
      <c r="E278" s="876">
        <v>209.8753033442253</v>
      </c>
      <c r="F278" s="876">
        <v>216.80688280503475</v>
      </c>
      <c r="G278" s="876">
        <v>259.60000000000002</v>
      </c>
      <c r="H278" s="876">
        <v>315.77417391393749</v>
      </c>
      <c r="I278" s="876">
        <v>233.92328014186901</v>
      </c>
      <c r="J278" s="877">
        <f>+'Credit Quality'!AF29</f>
        <v>364.46516995800522</v>
      </c>
    </row>
    <row r="279" spans="2:28" x14ac:dyDescent="0.15">
      <c r="B279" s="705" t="s">
        <v>64</v>
      </c>
      <c r="C279" s="875">
        <v>47070.777237059243</v>
      </c>
      <c r="D279" s="876">
        <v>60954.832000000002</v>
      </c>
      <c r="E279" s="876">
        <v>72570.22971722958</v>
      </c>
      <c r="F279" s="876">
        <v>87354.200014822491</v>
      </c>
      <c r="G279" s="876">
        <v>112058.79999999999</v>
      </c>
      <c r="H279" s="876">
        <v>137191.63960339859</v>
      </c>
      <c r="I279" s="876">
        <v>158965.06768097711</v>
      </c>
      <c r="J279" s="877">
        <f>+'Credit Quality'!AF30</f>
        <v>180352.61602436451</v>
      </c>
    </row>
    <row r="280" spans="2:28" x14ac:dyDescent="0.15">
      <c r="B280" s="902" t="s">
        <v>156</v>
      </c>
      <c r="C280" s="903">
        <v>1.677270258066188E-3</v>
      </c>
      <c r="D280" s="904">
        <v>2.1117537725944269E-3</v>
      </c>
      <c r="E280" s="904">
        <v>2.8836905811676639E-3</v>
      </c>
      <c r="F280" s="904">
        <v>2.4757838294412471E-3</v>
      </c>
      <c r="G280" s="904">
        <v>2.3112864855625581E-3</v>
      </c>
      <c r="H280" s="904">
        <v>2.2964156276352732E-3</v>
      </c>
      <c r="I280" s="904">
        <v>1.4693766507540233E-3</v>
      </c>
      <c r="J280" s="905">
        <f>+'Credit Quality'!AF31</f>
        <v>2.0167721144527615E-3</v>
      </c>
    </row>
    <row r="281" spans="2:28" x14ac:dyDescent="0.15">
      <c r="B281" s="901" t="s">
        <v>65</v>
      </c>
      <c r="C281" s="705">
        <v>47372.564664546917</v>
      </c>
      <c r="D281" s="706">
        <v>62018.643339999995</v>
      </c>
      <c r="E281" s="706">
        <v>75728.654579516486</v>
      </c>
      <c r="F281" s="706">
        <v>91177.39182694786</v>
      </c>
      <c r="G281" s="876">
        <v>115478.79999999999</v>
      </c>
      <c r="H281" s="876">
        <v>140891.85712424063</v>
      </c>
      <c r="I281" s="876">
        <v>163370.40753511657</v>
      </c>
      <c r="J281" s="877">
        <f>+'Credit Quality'!AF33</f>
        <v>185023.38379063757</v>
      </c>
    </row>
    <row r="282" spans="2:28" x14ac:dyDescent="0.15">
      <c r="B282" s="901" t="s">
        <v>66</v>
      </c>
      <c r="C282" s="929">
        <v>127.66460722720061</v>
      </c>
      <c r="D282" s="930">
        <v>210.63907699999999</v>
      </c>
      <c r="E282" s="930">
        <v>495.79160723940248</v>
      </c>
      <c r="F282" s="930">
        <v>643.15173330396601</v>
      </c>
      <c r="G282" s="930">
        <v>716.1</v>
      </c>
      <c r="H282" s="930">
        <v>848.18869274076735</v>
      </c>
      <c r="I282" s="930">
        <v>1073.3144717301079</v>
      </c>
      <c r="J282" s="931">
        <f>+'Credit Quality'!AF34</f>
        <v>1296.4369975088098</v>
      </c>
    </row>
    <row r="283" spans="2:28" x14ac:dyDescent="0.15">
      <c r="B283" s="902" t="s">
        <v>67</v>
      </c>
      <c r="C283" s="903">
        <v>2.6949059678574535E-3</v>
      </c>
      <c r="D283" s="904">
        <v>3.3963831786069511E-3</v>
      </c>
      <c r="E283" s="904">
        <v>6.5469485757047507E-3</v>
      </c>
      <c r="F283" s="904">
        <v>7.0538509647726051E-3</v>
      </c>
      <c r="G283" s="904">
        <v>6.2011382175775993E-3</v>
      </c>
      <c r="H283" s="904">
        <v>6.0201399147774837E-3</v>
      </c>
      <c r="I283" s="904">
        <v>6.569821841813049E-3</v>
      </c>
      <c r="J283" s="905">
        <f>+'Credit Quality'!AF35</f>
        <v>7.0068818921601153E-3</v>
      </c>
    </row>
    <row r="285" spans="2:28" x14ac:dyDescent="0.15">
      <c r="B285" s="615" t="s">
        <v>260</v>
      </c>
    </row>
    <row r="286" spans="2:28" x14ac:dyDescent="0.15">
      <c r="B286" s="617" t="s">
        <v>162</v>
      </c>
      <c r="C286" s="740" t="s">
        <v>1</v>
      </c>
      <c r="D286" s="741" t="s">
        <v>2</v>
      </c>
      <c r="E286" s="741" t="s">
        <v>3</v>
      </c>
      <c r="F286" s="742" t="s">
        <v>96</v>
      </c>
      <c r="G286" s="741" t="s">
        <v>97</v>
      </c>
      <c r="H286" s="741" t="s">
        <v>131</v>
      </c>
      <c r="I286" s="741" t="s">
        <v>174</v>
      </c>
      <c r="J286" s="741" t="s">
        <v>238</v>
      </c>
      <c r="K286" s="932" t="s">
        <v>251</v>
      </c>
      <c r="L286" s="933" t="s">
        <v>271</v>
      </c>
      <c r="M286" s="933" t="str">
        <f>M195</f>
        <v>Q3FY26</v>
      </c>
      <c r="N286" s="934" t="str">
        <f>N195</f>
        <v>Q4FY26</v>
      </c>
      <c r="O286" s="934" t="str">
        <f>O195</f>
        <v>Q1FY27</v>
      </c>
      <c r="P286" s="610"/>
      <c r="Q286" s="613"/>
      <c r="S286" s="612"/>
      <c r="T286" s="612"/>
      <c r="U286" s="612"/>
      <c r="Y286" s="610"/>
      <c r="Z286" s="610"/>
      <c r="AA286" s="610"/>
      <c r="AB286" s="610"/>
    </row>
    <row r="287" spans="2:28" x14ac:dyDescent="0.15">
      <c r="B287" s="936" t="s">
        <v>255</v>
      </c>
      <c r="C287" s="937"/>
      <c r="D287" s="938"/>
      <c r="E287" s="938"/>
      <c r="F287" s="939"/>
      <c r="G287" s="938"/>
      <c r="H287" s="938"/>
      <c r="I287" s="938"/>
      <c r="J287" s="938"/>
      <c r="K287" s="937"/>
      <c r="L287" s="938"/>
      <c r="M287" s="938"/>
      <c r="N287" s="939"/>
      <c r="O287" s="939"/>
      <c r="P287" s="610"/>
      <c r="Q287" s="613"/>
      <c r="S287" s="612"/>
      <c r="T287" s="612"/>
      <c r="U287" s="612"/>
      <c r="Y287" s="610"/>
      <c r="Z287" s="610"/>
      <c r="AA287" s="610"/>
      <c r="AB287" s="610"/>
    </row>
    <row r="288" spans="2:28" x14ac:dyDescent="0.15">
      <c r="B288" s="901" t="s">
        <v>68</v>
      </c>
      <c r="C288" s="940">
        <v>0.1326</v>
      </c>
      <c r="D288" s="941">
        <v>0.13150000000000001</v>
      </c>
      <c r="E288" s="941">
        <v>0.13070000000000001</v>
      </c>
      <c r="F288" s="942">
        <v>0.1313</v>
      </c>
      <c r="G288" s="941">
        <v>0.1308</v>
      </c>
      <c r="H288" s="941">
        <v>0.13044769587197316</v>
      </c>
      <c r="I288" s="941">
        <v>0.1318</v>
      </c>
      <c r="J288" s="941">
        <v>0.1313</v>
      </c>
      <c r="K288" s="940">
        <v>0.1313</v>
      </c>
      <c r="L288" s="941">
        <v>0.13075999999999999</v>
      </c>
      <c r="M288" s="941">
        <v>0.130192185703534</v>
      </c>
      <c r="N288" s="942">
        <f>+'Yields, Margins &amp; Ratios'!V5</f>
        <v>0.12823999999999999</v>
      </c>
      <c r="O288" s="942">
        <f>+'Yields, Margins &amp; Ratios'!W5</f>
        <v>0.127</v>
      </c>
      <c r="P288" s="610"/>
      <c r="Q288" s="613"/>
      <c r="S288" s="612"/>
      <c r="T288" s="612"/>
      <c r="U288" s="612"/>
      <c r="Y288" s="610"/>
      <c r="Z288" s="610"/>
      <c r="AA288" s="610"/>
      <c r="AB288" s="610"/>
    </row>
    <row r="289" spans="2:28" x14ac:dyDescent="0.15">
      <c r="B289" s="901" t="s">
        <v>69</v>
      </c>
      <c r="C289" s="940">
        <v>7.6600000000000001E-2</v>
      </c>
      <c r="D289" s="941">
        <v>7.8600000000000003E-2</v>
      </c>
      <c r="E289" s="941">
        <v>7.9500000000000001E-2</v>
      </c>
      <c r="F289" s="942">
        <v>8.0699999999999994E-2</v>
      </c>
      <c r="G289" s="941">
        <v>8.0799999999999997E-2</v>
      </c>
      <c r="H289" s="941">
        <v>8.1500000000000003E-2</v>
      </c>
      <c r="I289" s="941">
        <v>8.2400000000000001E-2</v>
      </c>
      <c r="J289" s="941">
        <v>8.2400000000000001E-2</v>
      </c>
      <c r="K289" s="940">
        <v>8.0199999999999994E-2</v>
      </c>
      <c r="L289" s="941">
        <v>7.8476794815615203E-2</v>
      </c>
      <c r="M289" s="941">
        <v>7.68282282597023E-2</v>
      </c>
      <c r="N289" s="942">
        <f>+'Yields, Margins &amp; Ratios'!V6</f>
        <v>7.6200000000000004E-2</v>
      </c>
      <c r="O289" s="942">
        <f>+'Yields, Margins &amp; Ratios'!W6</f>
        <v>7.6399999999999996E-2</v>
      </c>
      <c r="P289" s="610"/>
      <c r="Q289" s="613"/>
      <c r="S289" s="612"/>
      <c r="T289" s="612"/>
      <c r="U289" s="612"/>
      <c r="Y289" s="610"/>
      <c r="Z289" s="610"/>
      <c r="AA289" s="610"/>
      <c r="AB289" s="610"/>
    </row>
    <row r="290" spans="2:28" x14ac:dyDescent="0.15">
      <c r="B290" s="936" t="s">
        <v>70</v>
      </c>
      <c r="C290" s="943">
        <v>5.5999999999999994E-2</v>
      </c>
      <c r="D290" s="944">
        <v>5.2900000000000003E-2</v>
      </c>
      <c r="E290" s="944">
        <v>5.1200000000000009E-2</v>
      </c>
      <c r="F290" s="945">
        <v>5.0600000000000006E-2</v>
      </c>
      <c r="G290" s="944">
        <v>0.05</v>
      </c>
      <c r="H290" s="944">
        <v>4.894769587197316E-2</v>
      </c>
      <c r="I290" s="944">
        <v>4.9399999999999999E-2</v>
      </c>
      <c r="J290" s="944">
        <v>4.8899999999999999E-2</v>
      </c>
      <c r="K290" s="943">
        <v>5.1100000000000007E-2</v>
      </c>
      <c r="L290" s="944">
        <v>5.2283205184384784E-2</v>
      </c>
      <c r="M290" s="944">
        <v>5.3363957443831697E-2</v>
      </c>
      <c r="N290" s="945">
        <f>+'Yields, Margins &amp; Ratios'!V7</f>
        <v>5.2039999999999989E-2</v>
      </c>
      <c r="O290" s="945">
        <f>+'Yields, Margins &amp; Ratios'!W7</f>
        <v>5.0600000000000006E-2</v>
      </c>
      <c r="P290" s="610"/>
      <c r="Q290" s="613"/>
      <c r="S290" s="612"/>
      <c r="T290" s="612"/>
      <c r="U290" s="612"/>
      <c r="Y290" s="610"/>
      <c r="Z290" s="610"/>
      <c r="AA290" s="610"/>
      <c r="AB290" s="610"/>
    </row>
    <row r="291" spans="2:28" x14ac:dyDescent="0.15">
      <c r="B291" s="717"/>
      <c r="C291" s="946"/>
      <c r="D291" s="946"/>
      <c r="E291" s="946"/>
      <c r="F291" s="946"/>
      <c r="G291" s="946"/>
      <c r="H291" s="946"/>
      <c r="I291" s="947"/>
      <c r="J291" s="947"/>
      <c r="K291" s="946"/>
      <c r="L291" s="947"/>
      <c r="M291" s="947"/>
      <c r="N291" s="948"/>
      <c r="O291" s="948"/>
      <c r="P291" s="610"/>
      <c r="Q291" s="613"/>
      <c r="S291" s="612"/>
      <c r="T291" s="612"/>
      <c r="U291" s="612"/>
      <c r="Y291" s="610"/>
      <c r="Z291" s="610"/>
      <c r="AA291" s="610"/>
      <c r="AB291" s="610"/>
    </row>
    <row r="292" spans="2:28" x14ac:dyDescent="0.15">
      <c r="B292" s="936" t="s">
        <v>71</v>
      </c>
      <c r="C292" s="938"/>
      <c r="D292" s="938"/>
      <c r="E292" s="938"/>
      <c r="F292" s="938"/>
      <c r="G292" s="938"/>
      <c r="H292" s="938"/>
      <c r="I292" s="949"/>
      <c r="J292" s="949"/>
      <c r="K292" s="943"/>
      <c r="L292" s="949"/>
      <c r="M292" s="949"/>
      <c r="N292" s="950"/>
      <c r="O292" s="950"/>
      <c r="P292" s="610"/>
      <c r="Q292" s="613"/>
      <c r="S292" s="612"/>
      <c r="T292" s="612"/>
      <c r="U292" s="612"/>
      <c r="Y292" s="610"/>
      <c r="Z292" s="610"/>
      <c r="AA292" s="610"/>
      <c r="AB292" s="610"/>
    </row>
    <row r="293" spans="2:28" x14ac:dyDescent="0.15">
      <c r="B293" s="901" t="s">
        <v>123</v>
      </c>
      <c r="C293" s="951">
        <v>0.12735546066832931</v>
      </c>
      <c r="D293" s="952">
        <v>0.12482913849746372</v>
      </c>
      <c r="E293" s="952">
        <v>0.12395972340579517</v>
      </c>
      <c r="F293" s="953">
        <v>0.12439722108692609</v>
      </c>
      <c r="G293" s="941">
        <v>0.12324184820173426</v>
      </c>
      <c r="H293" s="941">
        <v>0.12538751103971443</v>
      </c>
      <c r="I293" s="941">
        <v>0.12746856682886976</v>
      </c>
      <c r="J293" s="941">
        <v>0.12660114592517285</v>
      </c>
      <c r="K293" s="940">
        <v>0.12501603383159859</v>
      </c>
      <c r="L293" s="941">
        <v>0.12568480703545637</v>
      </c>
      <c r="M293" s="941">
        <v>0.12490470808841932</v>
      </c>
      <c r="N293" s="953">
        <f>+'Yields, Margins &amp; Ratios'!V10</f>
        <v>0.11798184032181734</v>
      </c>
      <c r="O293" s="953">
        <f>+'Yields, Margins &amp; Ratios'!W10</f>
        <v>0.11786984936511868</v>
      </c>
      <c r="P293" s="610"/>
      <c r="Q293" s="613"/>
      <c r="S293" s="612"/>
      <c r="T293" s="612"/>
      <c r="U293" s="612"/>
      <c r="Y293" s="610"/>
      <c r="Z293" s="610"/>
      <c r="AA293" s="610"/>
      <c r="AB293" s="610"/>
    </row>
    <row r="294" spans="2:28" x14ac:dyDescent="0.15">
      <c r="B294" s="901" t="s">
        <v>124</v>
      </c>
      <c r="C294" s="940">
        <v>5.4311704939895671E-2</v>
      </c>
      <c r="D294" s="941">
        <v>5.6174025231827455E-2</v>
      </c>
      <c r="E294" s="941">
        <v>5.7277622280014491E-2</v>
      </c>
      <c r="F294" s="942">
        <v>5.5752418379368639E-2</v>
      </c>
      <c r="G294" s="941">
        <v>5.6385459874105606E-2</v>
      </c>
      <c r="H294" s="941">
        <v>5.9279689979953032E-2</v>
      </c>
      <c r="I294" s="941">
        <v>6.0098617840535849E-2</v>
      </c>
      <c r="J294" s="941">
        <v>5.857731765779841E-2</v>
      </c>
      <c r="K294" s="940">
        <v>5.7765135026053321E-2</v>
      </c>
      <c r="L294" s="941">
        <v>5.7543829513726295E-2</v>
      </c>
      <c r="M294" s="941">
        <v>5.5728627448443466E-2</v>
      </c>
      <c r="N294" s="942">
        <f>+'Yields, Margins &amp; Ratios'!V11</f>
        <v>5.325924388461574E-2</v>
      </c>
      <c r="O294" s="942">
        <f>+'Yields, Margins &amp; Ratios'!W11</f>
        <v>5.4925391978879877E-2</v>
      </c>
      <c r="P294" s="610"/>
      <c r="Q294" s="613"/>
      <c r="S294" s="612"/>
      <c r="T294" s="612"/>
      <c r="U294" s="612"/>
      <c r="Y294" s="610"/>
      <c r="Z294" s="610"/>
      <c r="AA294" s="610"/>
      <c r="AB294" s="610"/>
    </row>
    <row r="295" spans="2:28" x14ac:dyDescent="0.15">
      <c r="B295" s="901" t="s">
        <v>169</v>
      </c>
      <c r="C295" s="940">
        <v>6.9444444939177749E-3</v>
      </c>
      <c r="D295" s="941">
        <v>1.0360417973054804E-2</v>
      </c>
      <c r="E295" s="941">
        <v>9.6556709335747157E-3</v>
      </c>
      <c r="F295" s="942">
        <v>1.243539743235399E-2</v>
      </c>
      <c r="G295" s="941">
        <v>6.3651437421533581E-3</v>
      </c>
      <c r="H295" s="941">
        <v>1.167676468977873E-2</v>
      </c>
      <c r="I295" s="941">
        <v>1.0081857384995303E-2</v>
      </c>
      <c r="J295" s="941">
        <v>1.3089650811499829E-2</v>
      </c>
      <c r="K295" s="940">
        <v>7.5605098950489447E-3</v>
      </c>
      <c r="L295" s="941">
        <v>1.2240724853474869E-2</v>
      </c>
      <c r="M295" s="941">
        <v>1.0932796603192936E-2</v>
      </c>
      <c r="N295" s="942">
        <f>+'Yields, Margins &amp; Ratios'!V12</f>
        <v>1.9809727878441916E-2</v>
      </c>
      <c r="O295" s="942">
        <f>+'Yields, Margins &amp; Ratios'!W12</f>
        <v>1.4062617807214033E-2</v>
      </c>
      <c r="P295" s="610"/>
      <c r="Q295" s="613"/>
      <c r="S295" s="612"/>
      <c r="T295" s="612"/>
      <c r="U295" s="612"/>
      <c r="Y295" s="610"/>
      <c r="Z295" s="610"/>
      <c r="AA295" s="610"/>
      <c r="AB295" s="610"/>
    </row>
    <row r="296" spans="2:28" x14ac:dyDescent="0.15">
      <c r="B296" s="955" t="s">
        <v>170</v>
      </c>
      <c r="C296" s="956">
        <v>7.998820022235141E-2</v>
      </c>
      <c r="D296" s="957">
        <v>7.9015531238691053E-2</v>
      </c>
      <c r="E296" s="957">
        <v>7.6337772059355408E-2</v>
      </c>
      <c r="F296" s="958">
        <v>8.1080200139911449E-2</v>
      </c>
      <c r="G296" s="957">
        <v>7.313403013384967E-2</v>
      </c>
      <c r="H296" s="957">
        <v>7.7784585749540128E-2</v>
      </c>
      <c r="I296" s="957">
        <v>7.7451806373329199E-2</v>
      </c>
      <c r="J296" s="957">
        <v>8.1113479078874284E-2</v>
      </c>
      <c r="K296" s="956">
        <v>7.4811408700594217E-2</v>
      </c>
      <c r="L296" s="957">
        <v>8.0381702375204936E-2</v>
      </c>
      <c r="M296" s="957">
        <v>8.0108877243168786E-2</v>
      </c>
      <c r="N296" s="958">
        <f>+'Yields, Margins &amp; Ratios'!V13</f>
        <v>8.4532324315643517E-2</v>
      </c>
      <c r="O296" s="958">
        <f>+'Yields, Margins &amp; Ratios'!W13</f>
        <v>7.7007075193452845E-2</v>
      </c>
      <c r="P296" s="610"/>
      <c r="Q296" s="613"/>
      <c r="S296" s="612"/>
      <c r="T296" s="612"/>
      <c r="U296" s="612"/>
      <c r="Y296" s="610"/>
      <c r="Z296" s="610"/>
      <c r="AA296" s="610"/>
      <c r="AB296" s="610"/>
    </row>
    <row r="297" spans="2:28" x14ac:dyDescent="0.15">
      <c r="B297" s="901" t="s">
        <v>72</v>
      </c>
      <c r="C297" s="940">
        <v>3.7886694762126485E-2</v>
      </c>
      <c r="D297" s="941">
        <v>3.4701826616817949E-2</v>
      </c>
      <c r="E297" s="941">
        <v>3.4955598579221182E-2</v>
      </c>
      <c r="F297" s="942">
        <v>3.5583751107364926E-2</v>
      </c>
      <c r="G297" s="941">
        <v>3.266326874222944E-2</v>
      </c>
      <c r="H297" s="941">
        <v>3.177903313829223E-2</v>
      </c>
      <c r="I297" s="941">
        <v>3.2714294506944894E-2</v>
      </c>
      <c r="J297" s="941">
        <v>3.7098803174460779E-2</v>
      </c>
      <c r="K297" s="940">
        <v>3.4614496720954416E-2</v>
      </c>
      <c r="L297" s="941">
        <v>3.5087541916047203E-2</v>
      </c>
      <c r="M297" s="941">
        <v>3.4366434152513545E-2</v>
      </c>
      <c r="N297" s="942">
        <f>+'Yields, Margins &amp; Ratios'!V14</f>
        <v>3.8767890874088981E-2</v>
      </c>
      <c r="O297" s="942">
        <f>+'Yields, Margins &amp; Ratios'!W14</f>
        <v>3.3673921755579372E-2</v>
      </c>
      <c r="P297" s="610"/>
      <c r="Q297" s="613"/>
      <c r="S297" s="612"/>
      <c r="T297" s="612"/>
      <c r="U297" s="612"/>
      <c r="Y297" s="610"/>
      <c r="Z297" s="610"/>
      <c r="AA297" s="610"/>
      <c r="AB297" s="610"/>
    </row>
    <row r="298" spans="2:28" x14ac:dyDescent="0.15">
      <c r="B298" s="959" t="s">
        <v>165</v>
      </c>
      <c r="C298" s="960">
        <v>1.6325302937604006E-3</v>
      </c>
      <c r="D298" s="961">
        <v>1.7711987572870311E-3</v>
      </c>
      <c r="E298" s="961">
        <v>2.0903109285992003E-3</v>
      </c>
      <c r="F298" s="962">
        <v>1.0798977442600132E-3</v>
      </c>
      <c r="G298" s="961">
        <v>2.0269237840477398E-3</v>
      </c>
      <c r="H298" s="961">
        <v>1.1401355647453831E-3</v>
      </c>
      <c r="I298" s="961">
        <v>1.3970648634727852E-3</v>
      </c>
      <c r="J298" s="961">
        <v>1.6741084609058537E-3</v>
      </c>
      <c r="K298" s="960">
        <v>2.3773059184800044E-3</v>
      </c>
      <c r="L298" s="961">
        <v>1.6448963322227349E-3</v>
      </c>
      <c r="M298" s="961">
        <v>1.580576686923855E-3</v>
      </c>
      <c r="N298" s="962">
        <f>+'Yields, Margins &amp; Ratios'!V15</f>
        <v>1.2827884947701404E-3</v>
      </c>
      <c r="O298" s="962">
        <f>+'Yields, Margins &amp; Ratios'!W15</f>
        <v>2.3811791441777364E-3</v>
      </c>
      <c r="P298" s="610"/>
      <c r="Q298" s="613"/>
      <c r="S298" s="612"/>
      <c r="T298" s="612"/>
      <c r="U298" s="612"/>
      <c r="Y298" s="610"/>
      <c r="Z298" s="610"/>
      <c r="AA298" s="610"/>
      <c r="AB298" s="610"/>
    </row>
    <row r="299" spans="2:28" x14ac:dyDescent="0.15">
      <c r="B299" s="901" t="s">
        <v>73</v>
      </c>
      <c r="C299" s="940">
        <v>4.0468984910813063E-2</v>
      </c>
      <c r="D299" s="941">
        <v>4.2542522302171586E-2</v>
      </c>
      <c r="E299" s="941">
        <v>3.9291792052108178E-2</v>
      </c>
      <c r="F299" s="942">
        <v>4.4416349314032794E-2</v>
      </c>
      <c r="G299" s="941">
        <v>3.8506450787486532E-2</v>
      </c>
      <c r="H299" s="941">
        <v>4.4872418717661705E-2</v>
      </c>
      <c r="I299" s="941">
        <v>4.3340447002911543E-2</v>
      </c>
      <c r="J299" s="941">
        <v>4.234056744350765E-2</v>
      </c>
      <c r="K299" s="940">
        <v>3.7819606061159791E-2</v>
      </c>
      <c r="L299" s="941">
        <v>4.3649264126934997E-2</v>
      </c>
      <c r="M299" s="941">
        <v>4.4161866403731383E-2</v>
      </c>
      <c r="N299" s="942">
        <f>+'Yields, Margins &amp; Ratios'!V16</f>
        <v>4.4481644946784402E-2</v>
      </c>
      <c r="O299" s="942">
        <f>+'Yields, Margins &amp; Ratios'!W16</f>
        <v>4.0951974293695736E-2</v>
      </c>
      <c r="P299" s="610"/>
      <c r="Q299" s="613"/>
      <c r="S299" s="612"/>
      <c r="T299" s="612"/>
      <c r="U299" s="612"/>
      <c r="Y299" s="610"/>
      <c r="Z299" s="610"/>
      <c r="AA299" s="610"/>
      <c r="AB299" s="610"/>
    </row>
    <row r="300" spans="2:28" x14ac:dyDescent="0.15">
      <c r="B300" s="936" t="s">
        <v>74</v>
      </c>
      <c r="C300" s="943">
        <v>3.1560452971251915E-2</v>
      </c>
      <c r="D300" s="944">
        <v>3.3080251768748237E-2</v>
      </c>
      <c r="E300" s="944">
        <v>3.0608418985524577E-2</v>
      </c>
      <c r="F300" s="945">
        <v>3.5688246742424719E-2</v>
      </c>
      <c r="G300" s="944">
        <v>3.0351570421508687E-2</v>
      </c>
      <c r="H300" s="944">
        <v>3.4899527649311E-2</v>
      </c>
      <c r="I300" s="944">
        <v>3.3684470724545619E-2</v>
      </c>
      <c r="J300" s="944">
        <v>3.3675271517441499E-2</v>
      </c>
      <c r="K300" s="943">
        <v>2.9396468225945875E-2</v>
      </c>
      <c r="L300" s="944">
        <v>3.3963809703097626E-2</v>
      </c>
      <c r="M300" s="944">
        <v>3.4297586120510093E-2</v>
      </c>
      <c r="N300" s="945">
        <f>+'Yields, Margins &amp; Ratios'!V17</f>
        <v>3.50176181000912E-2</v>
      </c>
      <c r="O300" s="945">
        <f>+'Yields, Margins &amp; Ratios'!W17</f>
        <v>3.1865683642592894E-2</v>
      </c>
      <c r="P300" s="610"/>
      <c r="Q300" s="613"/>
      <c r="S300" s="612"/>
      <c r="T300" s="612"/>
      <c r="U300" s="612"/>
      <c r="Y300" s="610"/>
      <c r="Z300" s="610"/>
      <c r="AA300" s="610"/>
      <c r="AB300" s="610"/>
    </row>
    <row r="301" spans="2:28" x14ac:dyDescent="0.15">
      <c r="B301" s="901" t="s">
        <v>75</v>
      </c>
      <c r="C301" s="963">
        <v>4.1766765736908074</v>
      </c>
      <c r="D301" s="964">
        <v>4.2648187614727409</v>
      </c>
      <c r="E301" s="964">
        <v>4.2669672048548906</v>
      </c>
      <c r="F301" s="965">
        <v>4.3174062558826236</v>
      </c>
      <c r="G301" s="964">
        <v>4.3654483288466635</v>
      </c>
      <c r="H301" s="964">
        <v>4.2604302833516021</v>
      </c>
      <c r="I301" s="964">
        <v>4.2176063904062406</v>
      </c>
      <c r="J301" s="964">
        <v>4.2661601948633345</v>
      </c>
      <c r="K301" s="963">
        <v>4.2715253177883605</v>
      </c>
      <c r="L301" s="964">
        <v>4.2127406932046227</v>
      </c>
      <c r="M301" s="964">
        <v>4.1655226960700871</v>
      </c>
      <c r="N301" s="966">
        <f>+'Yields, Margins &amp; Ratios'!V18</f>
        <v>4.1883458090864156</v>
      </c>
      <c r="O301" s="966">
        <f>+'Yields, Margins &amp; Ratios'!W18</f>
        <v>4.1865447675999681</v>
      </c>
      <c r="P301" s="610"/>
      <c r="Q301" s="613"/>
      <c r="S301" s="612"/>
      <c r="T301" s="612"/>
      <c r="U301" s="612"/>
      <c r="Y301" s="610"/>
      <c r="Z301" s="610"/>
      <c r="AA301" s="610"/>
      <c r="AB301" s="610"/>
    </row>
    <row r="302" spans="2:28" x14ac:dyDescent="0.15">
      <c r="B302" s="936" t="s">
        <v>76</v>
      </c>
      <c r="C302" s="943">
        <v>0.13181780458009834</v>
      </c>
      <c r="D302" s="944">
        <v>0.14102347668036413</v>
      </c>
      <c r="E302" s="944">
        <v>0.13060512000369118</v>
      </c>
      <c r="F302" s="945">
        <v>0.15436503632703141</v>
      </c>
      <c r="G302" s="944">
        <v>0.13141293160238238</v>
      </c>
      <c r="H302" s="944">
        <v>0.14868700447179112</v>
      </c>
      <c r="I302" s="944">
        <v>0.14206783898529554</v>
      </c>
      <c r="J302" s="944">
        <v>0.14366410289892392</v>
      </c>
      <c r="K302" s="943">
        <v>0.12556775828068889</v>
      </c>
      <c r="L302" s="944">
        <v>0.14308072323249738</v>
      </c>
      <c r="M302" s="944">
        <v>0.1428673734054032</v>
      </c>
      <c r="N302" s="945">
        <f>+'Yields, Margins &amp; Ratios'!V19</f>
        <v>0.14666589401370558</v>
      </c>
      <c r="O302" s="945">
        <f>+'Yields, Margins &amp; Ratios'!W19</f>
        <v>0.13340711111989317</v>
      </c>
      <c r="P302" s="610"/>
      <c r="Q302" s="613"/>
      <c r="S302" s="612"/>
      <c r="T302" s="612"/>
      <c r="U302" s="612"/>
      <c r="Y302" s="610"/>
      <c r="Z302" s="610"/>
      <c r="AA302" s="610"/>
      <c r="AB302" s="610"/>
    </row>
    <row r="303" spans="2:28" x14ac:dyDescent="0.15">
      <c r="B303" s="967"/>
      <c r="C303" s="968"/>
      <c r="D303" s="969"/>
      <c r="E303" s="969"/>
      <c r="F303" s="970"/>
      <c r="G303" s="971"/>
      <c r="H303" s="971"/>
      <c r="I303" s="972"/>
      <c r="J303" s="972"/>
      <c r="K303" s="968"/>
      <c r="L303" s="969"/>
      <c r="M303" s="969"/>
      <c r="N303" s="973"/>
      <c r="O303" s="973"/>
      <c r="P303" s="610"/>
      <c r="Q303" s="613"/>
      <c r="S303" s="612"/>
      <c r="T303" s="612"/>
      <c r="U303" s="612"/>
      <c r="Y303" s="610"/>
      <c r="Z303" s="610"/>
      <c r="AA303" s="610"/>
      <c r="AB303" s="610"/>
    </row>
    <row r="304" spans="2:28" x14ac:dyDescent="0.15">
      <c r="B304" s="768" t="s">
        <v>77</v>
      </c>
      <c r="C304" s="938"/>
      <c r="D304" s="938"/>
      <c r="E304" s="938"/>
      <c r="F304" s="938"/>
      <c r="G304" s="938"/>
      <c r="H304" s="938"/>
      <c r="I304" s="949"/>
      <c r="J304" s="949"/>
      <c r="K304" s="937"/>
      <c r="L304" s="949"/>
      <c r="M304" s="949"/>
      <c r="N304" s="950"/>
      <c r="O304" s="950"/>
      <c r="P304" s="610"/>
      <c r="Q304" s="613"/>
      <c r="S304" s="612"/>
      <c r="T304" s="612"/>
      <c r="U304" s="612"/>
      <c r="Y304" s="610"/>
      <c r="Z304" s="610"/>
      <c r="AA304" s="610"/>
      <c r="AB304" s="610"/>
    </row>
    <row r="305" spans="2:28" x14ac:dyDescent="0.15">
      <c r="B305" s="744" t="s">
        <v>78</v>
      </c>
      <c r="C305" s="974">
        <v>0.4736534894067409</v>
      </c>
      <c r="D305" s="975">
        <v>0.43917719534122446</v>
      </c>
      <c r="E305" s="975">
        <v>0.45790740178074985</v>
      </c>
      <c r="F305" s="976">
        <v>0.43887212521468444</v>
      </c>
      <c r="G305" s="975">
        <v>0.4504284210400224</v>
      </c>
      <c r="H305" s="975">
        <v>0.40851503603378342</v>
      </c>
      <c r="I305" s="975">
        <v>0.42238258910653587</v>
      </c>
      <c r="J305" s="975">
        <v>0.45736915239927162</v>
      </c>
      <c r="K305" s="974">
        <v>0.46269008059300826</v>
      </c>
      <c r="L305" s="975">
        <v>0.43651155523263135</v>
      </c>
      <c r="M305" s="975">
        <v>0.42899657734803803</v>
      </c>
      <c r="N305" s="953">
        <f>+'Yields, Margins &amp; Ratios'!V22</f>
        <v>0.4586161706536041</v>
      </c>
      <c r="O305" s="953">
        <f>+'Yields, Margins &amp; Ratios'!W22</f>
        <v>0.43728347909572773</v>
      </c>
      <c r="P305" s="610"/>
      <c r="Q305" s="613"/>
      <c r="S305" s="612"/>
      <c r="T305" s="612"/>
      <c r="U305" s="612"/>
      <c r="Y305" s="610"/>
      <c r="Z305" s="610"/>
      <c r="AA305" s="610"/>
      <c r="AB305" s="610"/>
    </row>
    <row r="306" spans="2:28" x14ac:dyDescent="0.15">
      <c r="B306" s="977" t="s">
        <v>79</v>
      </c>
      <c r="C306" s="978">
        <v>3.6562740809501421E-2</v>
      </c>
      <c r="D306" s="979">
        <v>3.408496802462542E-2</v>
      </c>
      <c r="E306" s="979">
        <v>3.3940700083610081E-2</v>
      </c>
      <c r="F306" s="980">
        <v>3.4067395770190835E-2</v>
      </c>
      <c r="G306" s="979">
        <v>3.1137372221985926E-2</v>
      </c>
      <c r="H306" s="979">
        <v>2.9709769247992606E-2</v>
      </c>
      <c r="I306" s="979">
        <v>2.9567578317137376E-2</v>
      </c>
      <c r="J306" s="979">
        <v>3.4152370983752643E-2</v>
      </c>
      <c r="K306" s="978">
        <v>3.1865582514319757E-2</v>
      </c>
      <c r="L306" s="979">
        <v>3.226810586489965E-2</v>
      </c>
      <c r="M306" s="979">
        <v>3.134526148234635E-2</v>
      </c>
      <c r="N306" s="980">
        <f>+'Yields, Margins &amp; Ratios'!V23</f>
        <v>3.5241394720896137E-2</v>
      </c>
      <c r="O306" s="980">
        <f>+'Yields, Margins &amp; Ratios'!W23</f>
        <v>3.0557727898298071E-2</v>
      </c>
      <c r="P306" s="610"/>
      <c r="Q306" s="613"/>
      <c r="S306" s="612"/>
      <c r="T306" s="612"/>
      <c r="U306" s="612"/>
      <c r="Y306" s="610"/>
      <c r="Z306" s="610"/>
      <c r="AA306" s="610"/>
      <c r="AB306" s="610"/>
    </row>
    <row r="307" spans="2:28" x14ac:dyDescent="0.15">
      <c r="B307" s="748" t="s">
        <v>80</v>
      </c>
      <c r="C307" s="981">
        <v>0.47320000000000001</v>
      </c>
      <c r="D307" s="947">
        <v>0.48159999999999997</v>
      </c>
      <c r="E307" s="947">
        <v>0.45009999999999994</v>
      </c>
      <c r="F307" s="718">
        <v>0.443</v>
      </c>
      <c r="G307" s="947">
        <v>0.44450000000000001</v>
      </c>
      <c r="H307" s="947">
        <v>0.46479999999999999</v>
      </c>
      <c r="I307" s="814">
        <v>0.4556</v>
      </c>
      <c r="J307" s="814">
        <v>0.44500000000000001</v>
      </c>
      <c r="K307" s="982">
        <v>0.43200000000000005</v>
      </c>
      <c r="L307" s="814">
        <v>0.4642</v>
      </c>
      <c r="M307" s="814">
        <v>0.46389999999999998</v>
      </c>
      <c r="N307" s="718">
        <f>+'Yields, Margins &amp; Ratios'!V24</f>
        <v>0.44579999999999997</v>
      </c>
      <c r="O307" s="718">
        <f>+'Yields, Margins &amp; Ratios'!W24</f>
        <v>0.4466</v>
      </c>
      <c r="P307" s="610"/>
      <c r="Q307" s="613"/>
      <c r="S307" s="612"/>
      <c r="T307" s="612"/>
      <c r="U307" s="612"/>
      <c r="Y307" s="610"/>
      <c r="Z307" s="610"/>
      <c r="AA307" s="610"/>
      <c r="AB307" s="610"/>
    </row>
    <row r="308" spans="2:28" x14ac:dyDescent="0.15">
      <c r="B308" s="806" t="s">
        <v>164</v>
      </c>
      <c r="C308" s="983">
        <v>428.5</v>
      </c>
      <c r="D308" s="984">
        <v>444.1</v>
      </c>
      <c r="E308" s="984">
        <v>458.9</v>
      </c>
      <c r="F308" s="985">
        <v>476.8</v>
      </c>
      <c r="G308" s="984">
        <v>493</v>
      </c>
      <c r="H308" s="984">
        <v>511.5</v>
      </c>
      <c r="I308" s="984">
        <v>530.29999999999995</v>
      </c>
      <c r="J308" s="984">
        <v>550.93244965507051</v>
      </c>
      <c r="K308" s="925">
        <v>569.74623159156192</v>
      </c>
      <c r="L308" s="986">
        <v>591</v>
      </c>
      <c r="M308" s="986">
        <v>613.55967084951817</v>
      </c>
      <c r="N308" s="987">
        <f>+'Yields, Margins &amp; Ratios'!V25</f>
        <v>637.18258190292988</v>
      </c>
      <c r="O308" s="987">
        <f>+'Yields, Margins &amp; Ratios'!W25</f>
        <v>658.30539752301172</v>
      </c>
      <c r="P308" s="610"/>
      <c r="Q308" s="613"/>
      <c r="S308" s="612"/>
      <c r="T308" s="612"/>
      <c r="U308" s="612"/>
      <c r="Y308" s="610"/>
      <c r="Z308" s="610"/>
      <c r="AA308" s="610"/>
      <c r="AB308" s="610"/>
    </row>
    <row r="309" spans="2:28" x14ac:dyDescent="0.15">
      <c r="B309" s="717"/>
      <c r="C309" s="988"/>
      <c r="D309" s="989"/>
      <c r="E309" s="989"/>
      <c r="F309" s="990"/>
      <c r="G309" s="991"/>
      <c r="H309" s="991"/>
      <c r="I309" s="954"/>
      <c r="J309" s="954"/>
      <c r="K309" s="992"/>
      <c r="L309" s="993"/>
      <c r="M309" s="993"/>
      <c r="N309" s="994"/>
      <c r="O309" s="994"/>
      <c r="P309" s="610"/>
      <c r="Q309" s="613"/>
      <c r="S309" s="612"/>
      <c r="T309" s="612"/>
      <c r="U309" s="612"/>
      <c r="Y309" s="610"/>
      <c r="Z309" s="610"/>
      <c r="AA309" s="610"/>
      <c r="AB309" s="610"/>
    </row>
    <row r="310" spans="2:28" x14ac:dyDescent="0.15">
      <c r="B310" s="744" t="s">
        <v>81</v>
      </c>
      <c r="C310" s="995">
        <v>139048.45488912956</v>
      </c>
      <c r="D310" s="996">
        <v>147183.79999999999</v>
      </c>
      <c r="E310" s="996">
        <v>152436.54999999999</v>
      </c>
      <c r="F310" s="997">
        <v>159845.81847044517</v>
      </c>
      <c r="G310" s="996">
        <v>167559.34498168109</v>
      </c>
      <c r="H310" s="996">
        <v>169387.67999132921</v>
      </c>
      <c r="I310" s="996">
        <v>173875.83765704173</v>
      </c>
      <c r="J310" s="996">
        <v>182542.60446160834</v>
      </c>
      <c r="K310" s="995">
        <v>189455.7987554362</v>
      </c>
      <c r="L310" s="996">
        <v>193568.62880467396</v>
      </c>
      <c r="M310" s="996">
        <v>198653.89089631563</v>
      </c>
      <c r="N310" s="998">
        <f>+'Yields, Margins &amp; Ratios'!V27</f>
        <v>207511.19459973864</v>
      </c>
      <c r="O310" s="998">
        <f>+'Yields, Margins &amp; Ratios'!W27</f>
        <v>214987.50938087466</v>
      </c>
      <c r="P310" s="610"/>
      <c r="Q310" s="613"/>
      <c r="S310" s="612"/>
      <c r="T310" s="612"/>
      <c r="U310" s="612"/>
      <c r="Y310" s="610"/>
      <c r="Z310" s="610"/>
      <c r="AA310" s="610"/>
      <c r="AB310" s="610"/>
    </row>
    <row r="311" spans="2:28" x14ac:dyDescent="0.15">
      <c r="B311" s="748" t="s">
        <v>82</v>
      </c>
      <c r="C311" s="999">
        <v>33291.65005617289</v>
      </c>
      <c r="D311" s="619">
        <v>34511.15</v>
      </c>
      <c r="E311" s="619">
        <v>35724.800000000003</v>
      </c>
      <c r="F311" s="1000">
        <v>37023.575961296068</v>
      </c>
      <c r="G311" s="619">
        <v>38383.078291055994</v>
      </c>
      <c r="H311" s="619">
        <v>39758.350383819692</v>
      </c>
      <c r="I311" s="619">
        <v>41226.188876362634</v>
      </c>
      <c r="J311" s="619">
        <v>42788.502101116261</v>
      </c>
      <c r="K311" s="999">
        <v>44353.195793190214</v>
      </c>
      <c r="L311" s="619">
        <v>45948.384413242093</v>
      </c>
      <c r="M311" s="619">
        <v>47690.027252458196</v>
      </c>
      <c r="N311" s="1001">
        <f>+'Yields, Margins &amp; Ratios'!V28</f>
        <v>49544.904852305423</v>
      </c>
      <c r="O311" s="1001">
        <f>+'Yields, Margins &amp; Ratios'!W28</f>
        <v>51352.014922826471</v>
      </c>
      <c r="P311" s="610"/>
      <c r="Q311" s="613"/>
      <c r="S311" s="612"/>
      <c r="T311" s="612"/>
      <c r="U311" s="612"/>
      <c r="Y311" s="610"/>
      <c r="Z311" s="610"/>
      <c r="AA311" s="610"/>
      <c r="AB311" s="610"/>
    </row>
    <row r="312" spans="2:28" x14ac:dyDescent="0.15">
      <c r="B312" s="748" t="s">
        <v>83</v>
      </c>
      <c r="C312" s="999">
        <v>144083.46450222269</v>
      </c>
      <c r="D312" s="619">
        <v>149847.48422572529</v>
      </c>
      <c r="E312" s="619">
        <v>156994.72425362578</v>
      </c>
      <c r="F312" s="1000">
        <v>166960.628818664</v>
      </c>
      <c r="G312" s="619">
        <v>175770.642313358</v>
      </c>
      <c r="H312" s="619">
        <v>181185.40910668974</v>
      </c>
      <c r="I312" s="619">
        <v>188168.24763785448</v>
      </c>
      <c r="J312" s="619">
        <v>198291.12763785449</v>
      </c>
      <c r="K312" s="999">
        <v>205799.38</v>
      </c>
      <c r="L312" s="619">
        <v>210481.74954092249</v>
      </c>
      <c r="M312" s="619">
        <v>217800.89039849999</v>
      </c>
      <c r="N312" s="1001">
        <f>+'Yields, Margins &amp; Ratios'!V29</f>
        <v>228276.19085757749</v>
      </c>
      <c r="O312" s="1001">
        <f>+'Yields, Margins &amp; Ratios'!W29</f>
        <v>236911.35</v>
      </c>
      <c r="P312" s="610"/>
      <c r="Q312" s="613"/>
      <c r="S312" s="612"/>
      <c r="T312" s="612"/>
      <c r="U312" s="612"/>
      <c r="Y312" s="610"/>
      <c r="Z312" s="610"/>
      <c r="AA312" s="610"/>
      <c r="AB312" s="610"/>
    </row>
    <row r="313" spans="2:28" x14ac:dyDescent="0.15">
      <c r="B313" s="806" t="s">
        <v>84</v>
      </c>
      <c r="C313" s="1002">
        <v>102352.70358339138</v>
      </c>
      <c r="D313" s="1003">
        <v>108871.30000000002</v>
      </c>
      <c r="E313" s="1003">
        <v>112794.95000000001</v>
      </c>
      <c r="F313" s="1004">
        <v>118755.37845938656</v>
      </c>
      <c r="G313" s="1003">
        <v>124353.97845938653</v>
      </c>
      <c r="H313" s="1003">
        <v>124711.5</v>
      </c>
      <c r="I313" s="1003">
        <v>128941.6209333583</v>
      </c>
      <c r="J313" s="1003">
        <v>175815.70223439171</v>
      </c>
      <c r="K313" s="1002">
        <v>181166.77500000002</v>
      </c>
      <c r="L313" s="1003">
        <v>184867.30100000004</v>
      </c>
      <c r="M313" s="1003">
        <v>189930.10100000002</v>
      </c>
      <c r="N313" s="1005">
        <f>+'Yields, Margins &amp; Ratios'!V30</f>
        <v>198620.91100000002</v>
      </c>
      <c r="O313" s="1005">
        <f>+'Yields, Margins &amp; Ratios'!W30</f>
        <v>205687.37099999998</v>
      </c>
      <c r="P313" s="610"/>
      <c r="Q313" s="613"/>
      <c r="S313" s="612"/>
      <c r="T313" s="612"/>
      <c r="U313" s="612"/>
      <c r="Y313" s="610"/>
      <c r="Z313" s="610"/>
      <c r="AA313" s="610"/>
      <c r="AB313" s="610"/>
    </row>
    <row r="314" spans="2:28" x14ac:dyDescent="0.15">
      <c r="H314" s="612"/>
      <c r="I314" s="612"/>
      <c r="J314" s="612"/>
      <c r="K314" s="612"/>
      <c r="L314" s="1006"/>
      <c r="M314" s="1006"/>
      <c r="N314" s="1006"/>
      <c r="O314" s="1006"/>
      <c r="P314" s="610"/>
      <c r="Q314" s="613"/>
      <c r="S314" s="612"/>
      <c r="T314" s="612"/>
      <c r="U314" s="612"/>
      <c r="Y314" s="610"/>
      <c r="Z314" s="610"/>
      <c r="AA314" s="610"/>
      <c r="AB314" s="610"/>
    </row>
    <row r="315" spans="2:28" x14ac:dyDescent="0.15">
      <c r="H315" s="612"/>
      <c r="I315" s="612"/>
      <c r="J315" s="612"/>
      <c r="K315" s="612"/>
      <c r="L315" s="1006"/>
      <c r="M315" s="1006"/>
      <c r="N315" s="1006"/>
      <c r="O315" s="1006"/>
      <c r="P315" s="610"/>
      <c r="Q315" s="613"/>
      <c r="S315" s="612"/>
      <c r="T315" s="612"/>
      <c r="U315" s="612"/>
      <c r="Y315" s="610"/>
      <c r="Z315" s="610"/>
      <c r="AA315" s="610"/>
      <c r="AB315" s="610"/>
    </row>
    <row r="316" spans="2:28" x14ac:dyDescent="0.15">
      <c r="B316" s="615" t="s">
        <v>261</v>
      </c>
      <c r="H316" s="612"/>
      <c r="I316" s="612"/>
      <c r="J316" s="612"/>
      <c r="K316" s="612"/>
      <c r="L316" s="1006"/>
      <c r="M316" s="1006"/>
      <c r="N316" s="1006"/>
      <c r="O316" s="1006"/>
      <c r="P316" s="610"/>
      <c r="Q316" s="613"/>
      <c r="S316" s="612"/>
      <c r="T316" s="612"/>
      <c r="U316" s="612"/>
      <c r="Y316" s="610"/>
      <c r="Z316" s="610"/>
      <c r="AA316" s="610"/>
      <c r="AB316" s="610"/>
    </row>
    <row r="317" spans="2:28" x14ac:dyDescent="0.15">
      <c r="B317" s="1007" t="s">
        <v>162</v>
      </c>
      <c r="C317" s="702" t="s">
        <v>1</v>
      </c>
      <c r="D317" s="620" t="s">
        <v>2</v>
      </c>
      <c r="E317" s="620" t="s">
        <v>3</v>
      </c>
      <c r="F317" s="703" t="s">
        <v>96</v>
      </c>
      <c r="G317" s="620" t="s">
        <v>97</v>
      </c>
      <c r="H317" s="620" t="s">
        <v>131</v>
      </c>
      <c r="I317" s="620" t="s">
        <v>174</v>
      </c>
      <c r="J317" s="703" t="s">
        <v>238</v>
      </c>
      <c r="K317" s="702" t="s">
        <v>251</v>
      </c>
      <c r="L317" s="620" t="s">
        <v>271</v>
      </c>
      <c r="M317" s="620" t="str">
        <f>M286</f>
        <v>Q3FY26</v>
      </c>
      <c r="N317" s="703" t="str">
        <f>N286</f>
        <v>Q4FY26</v>
      </c>
      <c r="O317" s="703" t="str">
        <f>O286</f>
        <v>Q1FY27</v>
      </c>
      <c r="P317" s="610"/>
      <c r="Q317" s="610"/>
      <c r="S317" s="612"/>
      <c r="T317" s="612"/>
      <c r="U317" s="612"/>
      <c r="Y317" s="610"/>
      <c r="Z317" s="610"/>
      <c r="AA317" s="610"/>
      <c r="AB317" s="610"/>
    </row>
    <row r="318" spans="2:28" x14ac:dyDescent="0.15">
      <c r="B318" s="1008" t="s">
        <v>256</v>
      </c>
      <c r="C318" s="1009"/>
      <c r="D318" s="1010"/>
      <c r="E318" s="1010"/>
      <c r="F318" s="1011"/>
      <c r="G318" s="1010"/>
      <c r="H318" s="1010"/>
      <c r="I318" s="1010"/>
      <c r="J318" s="1010"/>
      <c r="K318" s="1009"/>
      <c r="L318" s="1010"/>
      <c r="M318" s="1010"/>
      <c r="N318" s="1011"/>
      <c r="O318" s="1011"/>
      <c r="P318" s="610"/>
      <c r="Q318" s="610"/>
      <c r="S318" s="612"/>
      <c r="T318" s="612"/>
      <c r="U318" s="612"/>
      <c r="Y318" s="610"/>
      <c r="Z318" s="610"/>
      <c r="AA318" s="610"/>
      <c r="AB318" s="610"/>
    </row>
    <row r="319" spans="2:28" x14ac:dyDescent="0.15">
      <c r="B319" s="748" t="s">
        <v>118</v>
      </c>
      <c r="C319" s="1012">
        <v>62395.4</v>
      </c>
      <c r="D319" s="1013">
        <v>69827.315846070007</v>
      </c>
      <c r="E319" s="1013">
        <v>68101.3</v>
      </c>
      <c r="F319" s="1014">
        <v>73889.600000000006</v>
      </c>
      <c r="G319" s="1015">
        <v>75543.100000000006</v>
      </c>
      <c r="H319" s="1015">
        <v>81790</v>
      </c>
      <c r="I319" s="1015">
        <v>86524.3</v>
      </c>
      <c r="J319" s="1015">
        <v>91426.5</v>
      </c>
      <c r="K319" s="1016">
        <v>88836.5</v>
      </c>
      <c r="L319" s="1015">
        <v>93119.2</v>
      </c>
      <c r="M319" s="1015">
        <v>99559.2</v>
      </c>
      <c r="N319" s="1014">
        <f>+Liabilities!V5</f>
        <v>106252</v>
      </c>
      <c r="O319" s="1014">
        <f>+Liabilities!W5</f>
        <v>112586.5</v>
      </c>
      <c r="P319" s="610"/>
      <c r="Q319" s="610"/>
      <c r="S319" s="612"/>
      <c r="T319" s="612"/>
      <c r="U319" s="612"/>
      <c r="Y319" s="610"/>
      <c r="Z319" s="610"/>
      <c r="AA319" s="610"/>
      <c r="AB319" s="610"/>
    </row>
    <row r="320" spans="2:28" x14ac:dyDescent="0.15">
      <c r="B320" s="748" t="s">
        <v>241</v>
      </c>
      <c r="C320" s="1012">
        <v>28025.143004242993</v>
      </c>
      <c r="D320" s="1013">
        <v>29281.599999999999</v>
      </c>
      <c r="E320" s="1013">
        <v>35046.703686170957</v>
      </c>
      <c r="F320" s="1014">
        <v>37170</v>
      </c>
      <c r="G320" s="1015">
        <v>37870</v>
      </c>
      <c r="H320" s="1015">
        <v>40510</v>
      </c>
      <c r="I320" s="1015">
        <v>42726.818468783385</v>
      </c>
      <c r="J320" s="1015">
        <v>45235</v>
      </c>
      <c r="K320" s="1016">
        <v>45332</v>
      </c>
      <c r="L320" s="1015">
        <v>47037.9</v>
      </c>
      <c r="M320" s="1015">
        <v>49090</v>
      </c>
      <c r="N320" s="1014">
        <f>+Liabilities!V6</f>
        <v>55764.2</v>
      </c>
      <c r="O320" s="1014">
        <f>+Liabilities!W6</f>
        <v>56564.7</v>
      </c>
      <c r="P320" s="610"/>
      <c r="Q320" s="610"/>
      <c r="S320" s="612"/>
      <c r="T320" s="612"/>
      <c r="U320" s="612"/>
      <c r="Y320" s="610"/>
      <c r="Z320" s="610"/>
      <c r="AA320" s="610"/>
      <c r="AB320" s="610"/>
    </row>
    <row r="321" spans="2:28" x14ac:dyDescent="0.15">
      <c r="B321" s="748" t="s">
        <v>120</v>
      </c>
      <c r="C321" s="1012">
        <v>28437.3</v>
      </c>
      <c r="D321" s="1013">
        <v>25717.910000000003</v>
      </c>
      <c r="E321" s="1013">
        <v>27271.388000000003</v>
      </c>
      <c r="F321" s="1014">
        <v>30415.8</v>
      </c>
      <c r="G321" s="1015">
        <v>30989.425282051285</v>
      </c>
      <c r="H321" s="1015">
        <v>29151.468999999994</v>
      </c>
      <c r="I321" s="1015">
        <v>27351.936000000009</v>
      </c>
      <c r="J321" s="1015">
        <v>25767.85</v>
      </c>
      <c r="K321" s="1016">
        <v>26108.2</v>
      </c>
      <c r="L321" s="1015">
        <v>25295.170000000002</v>
      </c>
      <c r="M321" s="1015">
        <v>23445.299999999996</v>
      </c>
      <c r="N321" s="1014">
        <f>+Liabilities!V7</f>
        <v>21859.489999999998</v>
      </c>
      <c r="O321" s="1014">
        <f>+Liabilities!W7</f>
        <v>20188.02</v>
      </c>
      <c r="P321" s="610"/>
      <c r="Q321" s="610"/>
      <c r="S321" s="612"/>
      <c r="T321" s="612"/>
      <c r="U321" s="612"/>
      <c r="Y321" s="610"/>
      <c r="Z321" s="610"/>
      <c r="AA321" s="610"/>
      <c r="AB321" s="610"/>
    </row>
    <row r="322" spans="2:28" x14ac:dyDescent="0.15">
      <c r="B322" s="748" t="s">
        <v>237</v>
      </c>
      <c r="C322" s="1012">
        <v>14958.461538461539</v>
      </c>
      <c r="D322" s="1013">
        <v>16016.6</v>
      </c>
      <c r="E322" s="1013">
        <v>14591.615384615383</v>
      </c>
      <c r="F322" s="1014">
        <v>14074.8</v>
      </c>
      <c r="G322" s="1015">
        <v>13649.8</v>
      </c>
      <c r="H322" s="1015">
        <v>9680</v>
      </c>
      <c r="I322" s="1015">
        <v>15557.9</v>
      </c>
      <c r="J322" s="1015">
        <v>17041.099999999999</v>
      </c>
      <c r="K322" s="1016">
        <v>20616.100000000002</v>
      </c>
      <c r="L322" s="1015">
        <v>19549.2</v>
      </c>
      <c r="M322" s="1015">
        <v>19024.2</v>
      </c>
      <c r="N322" s="1014">
        <f>+Liabilities!V8</f>
        <v>18507.400000000001</v>
      </c>
      <c r="O322" s="1014">
        <f>+Liabilities!W8</f>
        <v>17782.400000000001</v>
      </c>
      <c r="P322" s="610"/>
      <c r="Q322" s="610"/>
      <c r="S322" s="612"/>
      <c r="T322" s="612"/>
      <c r="U322" s="612"/>
      <c r="Y322" s="610"/>
      <c r="Z322" s="610"/>
      <c r="AA322" s="610"/>
      <c r="AB322" s="610"/>
    </row>
    <row r="323" spans="2:28" x14ac:dyDescent="0.15">
      <c r="B323" s="748" t="s">
        <v>122</v>
      </c>
      <c r="C323" s="1012">
        <v>0</v>
      </c>
      <c r="D323" s="1013">
        <v>0</v>
      </c>
      <c r="E323" s="1013">
        <v>0</v>
      </c>
      <c r="F323" s="1014">
        <v>0</v>
      </c>
      <c r="G323" s="1015">
        <v>0</v>
      </c>
      <c r="H323" s="1015">
        <v>0</v>
      </c>
      <c r="I323" s="1015">
        <v>0</v>
      </c>
      <c r="J323" s="1015">
        <v>0</v>
      </c>
      <c r="K323" s="1016">
        <v>1970.3</v>
      </c>
      <c r="L323" s="1015">
        <v>1870.0319999999999</v>
      </c>
      <c r="M323" s="1015">
        <v>1870</v>
      </c>
      <c r="N323" s="1017">
        <f>+Liabilities!V9</f>
        <v>1870.0319999999999</v>
      </c>
      <c r="O323" s="1017">
        <f>+Liabilities!W9</f>
        <v>0</v>
      </c>
      <c r="P323" s="610"/>
      <c r="Q323" s="610"/>
      <c r="S323" s="612"/>
      <c r="T323" s="612"/>
      <c r="U323" s="612"/>
      <c r="Y323" s="610"/>
      <c r="Z323" s="610"/>
      <c r="AA323" s="610"/>
      <c r="AB323" s="610"/>
    </row>
    <row r="324" spans="2:28" x14ac:dyDescent="0.15">
      <c r="B324" s="768" t="s">
        <v>171</v>
      </c>
      <c r="C324" s="1018">
        <v>133816.30454270454</v>
      </c>
      <c r="D324" s="1019">
        <v>140843.42584607002</v>
      </c>
      <c r="E324" s="1019">
        <v>145011.00707078635</v>
      </c>
      <c r="F324" s="1020">
        <v>155550.19999999998</v>
      </c>
      <c r="G324" s="1019">
        <v>158052.32528205129</v>
      </c>
      <c r="H324" s="1019">
        <v>161131.46899999998</v>
      </c>
      <c r="I324" s="1019">
        <v>172160.9544687834</v>
      </c>
      <c r="J324" s="1019">
        <v>179470.45</v>
      </c>
      <c r="K324" s="1018">
        <v>182863.1</v>
      </c>
      <c r="L324" s="1019">
        <v>186871.50200000004</v>
      </c>
      <c r="M324" s="1019">
        <v>192988.7</v>
      </c>
      <c r="N324" s="1020">
        <f>+Liabilities!V10</f>
        <v>204253.122</v>
      </c>
      <c r="O324" s="1020">
        <f>+Liabilities!W10</f>
        <v>207121.62</v>
      </c>
      <c r="P324" s="610"/>
      <c r="Q324" s="610"/>
      <c r="S324" s="612"/>
      <c r="T324" s="612"/>
      <c r="U324" s="612"/>
      <c r="Y324" s="610"/>
      <c r="Z324" s="610"/>
      <c r="AA324" s="610"/>
      <c r="AB324" s="610"/>
    </row>
    <row r="325" spans="2:28" x14ac:dyDescent="0.15">
      <c r="B325" s="1021" t="s">
        <v>173</v>
      </c>
      <c r="C325" s="1022">
        <v>125.20743671967718</v>
      </c>
      <c r="D325" s="1023">
        <v>129.98665284656911</v>
      </c>
      <c r="E325" s="1023">
        <v>130.0096721969924</v>
      </c>
      <c r="F325" s="1024">
        <v>132.17824873051885</v>
      </c>
      <c r="G325" s="1023">
        <v>131</v>
      </c>
      <c r="H325" s="1023">
        <v>136.08599616387255</v>
      </c>
      <c r="I325" s="1023">
        <v>130</v>
      </c>
      <c r="J325" s="1023">
        <v>130</v>
      </c>
      <c r="K325" s="1022">
        <v>126</v>
      </c>
      <c r="L325" s="1023">
        <v>126</v>
      </c>
      <c r="M325" s="1023">
        <v>126</v>
      </c>
      <c r="N325" s="1024">
        <f>+Liabilities!V11</f>
        <v>130</v>
      </c>
      <c r="O325" s="1024">
        <f>+Liabilities!W11</f>
        <v>130</v>
      </c>
      <c r="P325" s="610"/>
      <c r="Q325" s="610"/>
      <c r="S325" s="612"/>
      <c r="T325" s="612"/>
      <c r="U325" s="612"/>
      <c r="Y325" s="610"/>
      <c r="Z325" s="610"/>
      <c r="AA325" s="610"/>
      <c r="AB325" s="610"/>
    </row>
    <row r="326" spans="2:28" x14ac:dyDescent="0.15">
      <c r="B326" s="1025" t="s">
        <v>172</v>
      </c>
      <c r="C326" s="1026">
        <v>2001</v>
      </c>
      <c r="D326" s="1027">
        <v>3284</v>
      </c>
      <c r="E326" s="1027">
        <v>3173</v>
      </c>
      <c r="F326" s="1028">
        <v>3970</v>
      </c>
      <c r="G326" s="1027">
        <v>2303</v>
      </c>
      <c r="H326" s="1027">
        <v>4343.7</v>
      </c>
      <c r="I326" s="1027">
        <v>4043.5288961700003</v>
      </c>
      <c r="J326" s="1027">
        <v>4535.7</v>
      </c>
      <c r="K326" s="1026">
        <v>3767.0787630111099</v>
      </c>
      <c r="L326" s="1027">
        <v>4279.3999999999996</v>
      </c>
      <c r="M326" s="1027">
        <v>4411.3</v>
      </c>
      <c r="N326" s="1028">
        <f>+Liabilities!V12</f>
        <v>4690.3221120999997</v>
      </c>
      <c r="O326" s="1028">
        <f>+Liabilities!W12</f>
        <v>3987.5623397999998</v>
      </c>
      <c r="P326" s="610"/>
      <c r="Q326" s="610"/>
      <c r="S326" s="612"/>
      <c r="T326" s="612"/>
      <c r="U326" s="612"/>
      <c r="Y326" s="610"/>
      <c r="Z326" s="610"/>
      <c r="AA326" s="610"/>
      <c r="AB326" s="610"/>
    </row>
    <row r="327" spans="2:28" x14ac:dyDescent="0.15">
      <c r="B327" s="967"/>
      <c r="C327" s="1029"/>
      <c r="D327" s="1029"/>
      <c r="E327" s="1029"/>
      <c r="F327" s="1029"/>
      <c r="G327" s="1029"/>
      <c r="H327" s="1029"/>
      <c r="I327" s="1029"/>
      <c r="J327" s="1029"/>
      <c r="K327" s="1029"/>
      <c r="L327" s="1029"/>
      <c r="M327" s="1029"/>
      <c r="N327" s="1029"/>
      <c r="O327" s="1029"/>
      <c r="P327" s="610"/>
      <c r="Q327" s="610"/>
      <c r="S327" s="612"/>
      <c r="T327" s="612"/>
      <c r="U327" s="612"/>
      <c r="Y327" s="610"/>
      <c r="Z327" s="610"/>
      <c r="AA327" s="610"/>
      <c r="AB327" s="610"/>
    </row>
    <row r="328" spans="2:28" x14ac:dyDescent="0.15">
      <c r="B328" s="768" t="s">
        <v>257</v>
      </c>
      <c r="C328" s="1030"/>
      <c r="D328" s="1030"/>
      <c r="E328" s="1030"/>
      <c r="F328" s="1030"/>
      <c r="G328" s="1030"/>
      <c r="H328" s="1030"/>
      <c r="I328" s="1030"/>
      <c r="J328" s="1030"/>
      <c r="K328" s="1031"/>
      <c r="L328" s="1030"/>
      <c r="M328" s="1030"/>
      <c r="N328" s="1032"/>
      <c r="O328" s="1032"/>
      <c r="P328" s="610"/>
      <c r="Q328" s="610"/>
      <c r="S328" s="612"/>
      <c r="T328" s="612"/>
      <c r="U328" s="612"/>
      <c r="Y328" s="610"/>
      <c r="Z328" s="610"/>
      <c r="AA328" s="610"/>
      <c r="AB328" s="610"/>
    </row>
    <row r="329" spans="2:28" x14ac:dyDescent="0.15">
      <c r="B329" s="744" t="s">
        <v>118</v>
      </c>
      <c r="C329" s="1033">
        <v>0.46627651401095055</v>
      </c>
      <c r="D329" s="1034">
        <v>0.49577973147561299</v>
      </c>
      <c r="E329" s="1034">
        <v>0.46962848804130236</v>
      </c>
      <c r="F329" s="1035">
        <v>0.47502092572044274</v>
      </c>
      <c r="G329" s="1034">
        <v>0.4779625979256556</v>
      </c>
      <c r="H329" s="1034">
        <v>0.50759792924124592</v>
      </c>
      <c r="I329" s="1034">
        <v>0.50257795251529447</v>
      </c>
      <c r="J329" s="1034">
        <v>0.50942369621294203</v>
      </c>
      <c r="K329" s="1033">
        <v>0.48580878263575317</v>
      </c>
      <c r="L329" s="1034">
        <v>0.49830604989732452</v>
      </c>
      <c r="M329" s="1034">
        <v>0.51588098163260332</v>
      </c>
      <c r="N329" s="1035">
        <f>+Liabilities!V15</f>
        <v>0.52019767903474201</v>
      </c>
      <c r="O329" s="1035">
        <f>+Liabilities!W15</f>
        <v>0.54357676422190981</v>
      </c>
      <c r="P329" s="610"/>
      <c r="Q329" s="610"/>
      <c r="S329" s="612"/>
      <c r="T329" s="612"/>
      <c r="U329" s="612"/>
      <c r="Y329" s="610"/>
      <c r="Z329" s="610"/>
      <c r="AA329" s="610"/>
      <c r="AB329" s="610"/>
    </row>
    <row r="330" spans="2:28" x14ac:dyDescent="0.15">
      <c r="B330" s="748" t="s">
        <v>119</v>
      </c>
      <c r="C330" s="1036">
        <v>0.20942995773208922</v>
      </c>
      <c r="D330" s="1037">
        <v>0.20790178756374697</v>
      </c>
      <c r="E330" s="1037">
        <v>0.2416830583699284</v>
      </c>
      <c r="F330" s="1038">
        <v>0.23895822699038641</v>
      </c>
      <c r="G330" s="1037">
        <v>0.23960419394285612</v>
      </c>
      <c r="H330" s="1037">
        <v>0.25140961136523871</v>
      </c>
      <c r="I330" s="1037">
        <v>0.248179493431716</v>
      </c>
      <c r="J330" s="1037">
        <v>0.25204706401527383</v>
      </c>
      <c r="K330" s="1036">
        <v>0.24790129884049869</v>
      </c>
      <c r="L330" s="1037">
        <v>0.25171253774157598</v>
      </c>
      <c r="M330" s="1037">
        <v>0.25436722460952377</v>
      </c>
      <c r="N330" s="1038">
        <f>+Liabilities!V16</f>
        <v>0.27301516595667996</v>
      </c>
      <c r="O330" s="1038">
        <f>+Liabilities!W16</f>
        <v>0.27309896475317252</v>
      </c>
      <c r="P330" s="610"/>
      <c r="Q330" s="610"/>
      <c r="S330" s="612"/>
      <c r="T330" s="612"/>
      <c r="U330" s="612"/>
      <c r="Y330" s="610"/>
      <c r="Z330" s="610"/>
      <c r="AA330" s="610"/>
      <c r="AB330" s="610"/>
    </row>
    <row r="331" spans="2:28" x14ac:dyDescent="0.15">
      <c r="B331" s="748" t="s">
        <v>120</v>
      </c>
      <c r="C331" s="1036">
        <v>0.21250997849013875</v>
      </c>
      <c r="D331" s="1037">
        <v>0.18259929311935019</v>
      </c>
      <c r="E331" s="1037">
        <v>0.18806426181626074</v>
      </c>
      <c r="F331" s="1038">
        <v>0.1955368749124077</v>
      </c>
      <c r="G331" s="1037">
        <v>0.19607066980349261</v>
      </c>
      <c r="H331" s="1037">
        <v>0.18091729182956803</v>
      </c>
      <c r="I331" s="1037">
        <v>0.15887421212548819</v>
      </c>
      <c r="J331" s="1037">
        <v>0.143577118127246</v>
      </c>
      <c r="K331" s="1036">
        <v>0.14277456742229569</v>
      </c>
      <c r="L331" s="1037">
        <v>0.13536130297705851</v>
      </c>
      <c r="M331" s="1037">
        <v>0.12148535121486384</v>
      </c>
      <c r="N331" s="1038">
        <f>+Liabilities!V17</f>
        <v>0.10702157100932831</v>
      </c>
      <c r="O331" s="1038">
        <f>+Liabilities!W17</f>
        <v>9.7469399862747316E-2</v>
      </c>
      <c r="P331" s="610"/>
      <c r="Q331" s="610"/>
      <c r="S331" s="612"/>
      <c r="T331" s="612"/>
      <c r="U331" s="612"/>
      <c r="Y331" s="610"/>
      <c r="Z331" s="610"/>
      <c r="AA331" s="610"/>
      <c r="AB331" s="610"/>
    </row>
    <row r="332" spans="2:28" x14ac:dyDescent="0.15">
      <c r="B332" s="748" t="s">
        <v>121</v>
      </c>
      <c r="C332" s="1036">
        <v>0.11178354976682138</v>
      </c>
      <c r="D332" s="1037">
        <v>0.11371918784128975</v>
      </c>
      <c r="E332" s="1037">
        <v>0.10062419177250843</v>
      </c>
      <c r="F332" s="1038">
        <v>9.0483972376763269E-2</v>
      </c>
      <c r="G332" s="1037">
        <v>8.6362538327995703E-2</v>
      </c>
      <c r="H332" s="1037">
        <v>6.0075167563947429E-2</v>
      </c>
      <c r="I332" s="1037">
        <v>9.0368341927501289E-2</v>
      </c>
      <c r="J332" s="1037">
        <v>9.4952121644538132E-2</v>
      </c>
      <c r="K332" s="1036">
        <v>0.11274062399685886</v>
      </c>
      <c r="L332" s="1037">
        <v>0.10461306186750721</v>
      </c>
      <c r="M332" s="1037">
        <v>9.8576756048411124E-2</v>
      </c>
      <c r="N332" s="1038">
        <f>+Liabilities!V18</f>
        <v>9.0610120515073458E-2</v>
      </c>
      <c r="O332" s="1038">
        <f>+Liabilities!W18</f>
        <v>8.5854871162170332E-2</v>
      </c>
      <c r="P332" s="610"/>
      <c r="Q332" s="610"/>
      <c r="S332" s="612"/>
      <c r="T332" s="612"/>
      <c r="U332" s="612"/>
      <c r="Y332" s="610"/>
      <c r="Z332" s="610"/>
      <c r="AA332" s="610"/>
      <c r="AB332" s="610"/>
    </row>
    <row r="333" spans="2:28" x14ac:dyDescent="0.15">
      <c r="B333" s="748" t="s">
        <v>122</v>
      </c>
      <c r="C333" s="1012">
        <v>0</v>
      </c>
      <c r="D333" s="1013">
        <v>0</v>
      </c>
      <c r="E333" s="1013">
        <v>0</v>
      </c>
      <c r="F333" s="1039">
        <v>0</v>
      </c>
      <c r="G333" s="1013">
        <v>0</v>
      </c>
      <c r="H333" s="1013">
        <v>0</v>
      </c>
      <c r="I333" s="1013">
        <v>0</v>
      </c>
      <c r="J333" s="1013">
        <v>0</v>
      </c>
      <c r="K333" s="1036">
        <v>1.0774727104593545E-2</v>
      </c>
      <c r="L333" s="1013">
        <v>1.0007047516533578E-2</v>
      </c>
      <c r="M333" s="1013">
        <v>9.689686494597869E-3</v>
      </c>
      <c r="N333" s="1038">
        <f>+Liabilities!V19</f>
        <v>9.1554634841762659E-3</v>
      </c>
      <c r="O333" s="1038">
        <f>+Liabilities!W19</f>
        <v>0</v>
      </c>
      <c r="P333" s="610"/>
      <c r="Q333" s="610"/>
      <c r="S333" s="612"/>
      <c r="T333" s="612"/>
      <c r="U333" s="612"/>
      <c r="Y333" s="610"/>
      <c r="Z333" s="610"/>
      <c r="AA333" s="610"/>
      <c r="AB333" s="610"/>
    </row>
    <row r="334" spans="2:28" x14ac:dyDescent="0.15">
      <c r="B334" s="768" t="s">
        <v>85</v>
      </c>
      <c r="C334" s="1040">
        <v>0.99999999999999989</v>
      </c>
      <c r="D334" s="1041">
        <v>0.99999999999999989</v>
      </c>
      <c r="E334" s="1041">
        <v>0.99999999999999989</v>
      </c>
      <c r="F334" s="1042">
        <v>1</v>
      </c>
      <c r="G334" s="1041">
        <v>1</v>
      </c>
      <c r="H334" s="1041">
        <v>1.0000000000000002</v>
      </c>
      <c r="I334" s="1041">
        <v>1</v>
      </c>
      <c r="J334" s="1041">
        <v>1</v>
      </c>
      <c r="K334" s="1040">
        <v>0.99999999999999989</v>
      </c>
      <c r="L334" s="1041">
        <v>1</v>
      </c>
      <c r="M334" s="1041">
        <v>1</v>
      </c>
      <c r="N334" s="1043">
        <f>+Liabilities!V20</f>
        <v>1</v>
      </c>
      <c r="O334" s="1043">
        <f>+Liabilities!W20</f>
        <v>1</v>
      </c>
      <c r="P334" s="610"/>
      <c r="Q334" s="610"/>
      <c r="S334" s="612"/>
      <c r="T334" s="612"/>
      <c r="U334" s="612"/>
      <c r="Y334" s="610"/>
      <c r="Z334" s="610"/>
      <c r="AA334" s="610"/>
      <c r="AB334" s="610"/>
    </row>
    <row r="335" spans="2:28" x14ac:dyDescent="0.15">
      <c r="B335" s="967"/>
      <c r="C335" s="1044"/>
      <c r="D335" s="1044"/>
      <c r="E335" s="1044"/>
      <c r="F335" s="1044"/>
      <c r="G335" s="1044"/>
      <c r="H335" s="1044"/>
      <c r="I335" s="1044"/>
      <c r="J335" s="1044"/>
      <c r="K335" s="1029"/>
      <c r="L335" s="1044"/>
      <c r="M335" s="1044"/>
      <c r="N335" s="1044"/>
      <c r="O335" s="1044"/>
      <c r="P335" s="610"/>
      <c r="Q335" s="610"/>
      <c r="S335" s="612"/>
      <c r="T335" s="612"/>
      <c r="U335" s="612"/>
      <c r="Y335" s="610"/>
      <c r="Z335" s="610"/>
      <c r="AA335" s="610"/>
      <c r="AB335" s="610"/>
    </row>
    <row r="336" spans="2:28" x14ac:dyDescent="0.15">
      <c r="B336" s="768" t="s">
        <v>136</v>
      </c>
      <c r="C336" s="1030"/>
      <c r="D336" s="1030"/>
      <c r="E336" s="1030"/>
      <c r="F336" s="1030"/>
      <c r="G336" s="1030"/>
      <c r="H336" s="1030"/>
      <c r="I336" s="1030"/>
      <c r="J336" s="1030"/>
      <c r="K336" s="1031"/>
      <c r="L336" s="1030"/>
      <c r="M336" s="1030"/>
      <c r="N336" s="1032"/>
      <c r="O336" s="1032"/>
      <c r="P336" s="610"/>
      <c r="Q336" s="610"/>
      <c r="S336" s="612"/>
      <c r="T336" s="612"/>
      <c r="U336" s="612"/>
      <c r="Y336" s="610"/>
      <c r="Z336" s="610"/>
      <c r="AA336" s="610"/>
      <c r="AB336" s="610"/>
    </row>
    <row r="337" spans="2:28" x14ac:dyDescent="0.15">
      <c r="B337" s="1045" t="s">
        <v>135</v>
      </c>
      <c r="C337" s="1046">
        <v>0.30952950319842171</v>
      </c>
      <c r="D337" s="1047">
        <v>0.27</v>
      </c>
      <c r="E337" s="1047">
        <v>0.26765650219727555</v>
      </c>
      <c r="F337" s="1048">
        <v>0.2674358502914172</v>
      </c>
      <c r="G337" s="1047">
        <v>0.27</v>
      </c>
      <c r="H337" s="1047">
        <v>0.24052439698090167</v>
      </c>
      <c r="I337" s="1047">
        <v>0.22511143783782411</v>
      </c>
      <c r="J337" s="1047">
        <v>0.19120217515244139</v>
      </c>
      <c r="K337" s="1046">
        <v>0.21165341722851685</v>
      </c>
      <c r="L337" s="1047">
        <v>0.21045424036887123</v>
      </c>
      <c r="M337" s="1047">
        <v>0.19977426426684841</v>
      </c>
      <c r="N337" s="1048">
        <f>+Liabilities!V23</f>
        <v>0.17856128534475962</v>
      </c>
      <c r="O337" s="1048">
        <f>+Liabilities!W23</f>
        <v>0.15590444816610979</v>
      </c>
      <c r="P337" s="610"/>
      <c r="Q337" s="610"/>
      <c r="S337" s="612"/>
      <c r="T337" s="612"/>
      <c r="U337" s="612"/>
      <c r="Y337" s="610"/>
      <c r="Z337" s="610"/>
      <c r="AA337" s="610"/>
      <c r="AB337" s="610"/>
    </row>
    <row r="338" spans="2:28" x14ac:dyDescent="0.15">
      <c r="B338" s="1049" t="s">
        <v>151</v>
      </c>
      <c r="C338" s="1050">
        <v>0.69047049680157824</v>
      </c>
      <c r="D338" s="1051">
        <v>0.73</v>
      </c>
      <c r="E338" s="1051">
        <v>0.73234349780272434</v>
      </c>
      <c r="F338" s="1052">
        <v>0.73256414970858275</v>
      </c>
      <c r="G338" s="1051">
        <v>0.73</v>
      </c>
      <c r="H338" s="1051">
        <v>0.75947560301909833</v>
      </c>
      <c r="I338" s="1051">
        <v>0.77488856216217583</v>
      </c>
      <c r="J338" s="1051">
        <v>0.80879782484755869</v>
      </c>
      <c r="K338" s="1050">
        <v>0.78834658277148317</v>
      </c>
      <c r="L338" s="1051">
        <v>0.78954575963112872</v>
      </c>
      <c r="M338" s="1051">
        <v>0.8002257357331517</v>
      </c>
      <c r="N338" s="1052">
        <f>+Liabilities!V24</f>
        <v>0.82143871465524043</v>
      </c>
      <c r="O338" s="1052">
        <f>+Liabilities!W24</f>
        <v>0.84409555183389018</v>
      </c>
      <c r="P338" s="610"/>
      <c r="Q338" s="610"/>
      <c r="S338" s="612"/>
      <c r="T338" s="612"/>
      <c r="U338" s="612"/>
      <c r="Y338" s="610"/>
      <c r="Z338" s="610"/>
      <c r="AA338" s="610"/>
      <c r="AB338" s="610"/>
    </row>
    <row r="339" spans="2:28" x14ac:dyDescent="0.15">
      <c r="B339" s="813"/>
      <c r="C339" s="1053"/>
      <c r="D339" s="1053"/>
      <c r="E339" s="1053"/>
      <c r="F339" s="1053"/>
      <c r="G339" s="1053"/>
      <c r="H339" s="1053"/>
      <c r="I339" s="1053"/>
      <c r="J339" s="1053"/>
      <c r="K339" s="1029"/>
      <c r="L339" s="1053"/>
      <c r="M339" s="1053"/>
      <c r="N339" s="1053"/>
      <c r="O339" s="1053"/>
      <c r="P339" s="610"/>
      <c r="Q339" s="610"/>
      <c r="S339" s="612"/>
      <c r="T339" s="612"/>
      <c r="U339" s="612"/>
      <c r="Y339" s="610"/>
      <c r="Z339" s="610"/>
      <c r="AA339" s="610"/>
      <c r="AB339" s="610"/>
    </row>
    <row r="340" spans="2:28" x14ac:dyDescent="0.15">
      <c r="B340" s="750" t="s">
        <v>86</v>
      </c>
      <c r="C340" s="1054"/>
      <c r="D340" s="1054"/>
      <c r="E340" s="1054"/>
      <c r="F340" s="1054"/>
      <c r="G340" s="1054"/>
      <c r="H340" s="1054"/>
      <c r="I340" s="1054"/>
      <c r="J340" s="1054"/>
      <c r="K340" s="1055"/>
      <c r="L340" s="1054"/>
      <c r="M340" s="1054"/>
      <c r="N340" s="1032"/>
      <c r="O340" s="1032"/>
      <c r="P340" s="610"/>
      <c r="Q340" s="610"/>
      <c r="S340" s="612"/>
      <c r="T340" s="612"/>
      <c r="U340" s="612"/>
      <c r="Y340" s="610"/>
      <c r="Z340" s="610"/>
      <c r="AA340" s="610"/>
      <c r="AB340" s="610"/>
    </row>
    <row r="341" spans="2:28" ht="18" x14ac:dyDescent="0.15">
      <c r="B341" s="744" t="s">
        <v>87</v>
      </c>
      <c r="C341" s="1056" t="s">
        <v>154</v>
      </c>
      <c r="D341" s="1057" t="s">
        <v>154</v>
      </c>
      <c r="E341" s="1057" t="s">
        <v>154</v>
      </c>
      <c r="F341" s="1058" t="s">
        <v>154</v>
      </c>
      <c r="G341" s="1057" t="s">
        <v>154</v>
      </c>
      <c r="H341" s="1057" t="s">
        <v>154</v>
      </c>
      <c r="I341" s="1057" t="s">
        <v>154</v>
      </c>
      <c r="J341" s="1057" t="s">
        <v>154</v>
      </c>
      <c r="K341" s="1056" t="s">
        <v>154</v>
      </c>
      <c r="L341" s="1057" t="s">
        <v>274</v>
      </c>
      <c r="M341" s="1057" t="s">
        <v>274</v>
      </c>
      <c r="N341" s="1048" t="str">
        <f>+Liabilities!V27</f>
        <v>AA 
/ Positive</v>
      </c>
      <c r="O341" s="1048" t="str">
        <f>+Liabilities!W27</f>
        <v xml:space="preserve">AA </v>
      </c>
      <c r="P341" s="610"/>
      <c r="Q341" s="610"/>
      <c r="S341" s="612"/>
      <c r="T341" s="612"/>
      <c r="U341" s="612"/>
      <c r="Y341" s="610"/>
      <c r="Z341" s="610"/>
      <c r="AA341" s="610"/>
      <c r="AB341" s="610"/>
    </row>
    <row r="342" spans="2:28" ht="18" x14ac:dyDescent="0.15">
      <c r="B342" s="806" t="s">
        <v>88</v>
      </c>
      <c r="C342" s="1059" t="s">
        <v>154</v>
      </c>
      <c r="D342" s="1060" t="s">
        <v>154</v>
      </c>
      <c r="E342" s="1060" t="s">
        <v>154</v>
      </c>
      <c r="F342" s="1061" t="s">
        <v>154</v>
      </c>
      <c r="G342" s="1060" t="s">
        <v>154</v>
      </c>
      <c r="H342" s="1060" t="s">
        <v>154</v>
      </c>
      <c r="I342" s="1060" t="s">
        <v>154</v>
      </c>
      <c r="J342" s="1060" t="s">
        <v>154</v>
      </c>
      <c r="K342" s="1059" t="s">
        <v>154</v>
      </c>
      <c r="L342" s="1060" t="s">
        <v>154</v>
      </c>
      <c r="M342" s="1060" t="s">
        <v>154</v>
      </c>
      <c r="N342" s="1052" t="str">
        <f>+Liabilities!V28</f>
        <v>AA 
/ Positive</v>
      </c>
      <c r="O342" s="1052" t="str">
        <f>+Liabilities!W28</f>
        <v xml:space="preserve">AA </v>
      </c>
      <c r="P342" s="610"/>
      <c r="Q342" s="610"/>
      <c r="S342" s="612"/>
      <c r="T342" s="612"/>
      <c r="U342" s="612"/>
      <c r="Y342" s="610"/>
      <c r="Z342" s="610"/>
      <c r="AA342" s="610"/>
      <c r="AB342" s="610"/>
    </row>
    <row r="345" spans="2:28" x14ac:dyDescent="0.15">
      <c r="B345" s="815" t="s">
        <v>262</v>
      </c>
    </row>
    <row r="346" spans="2:28" x14ac:dyDescent="0.15">
      <c r="B346" s="617" t="s">
        <v>162</v>
      </c>
      <c r="C346" s="740" t="s">
        <v>6</v>
      </c>
      <c r="D346" s="741" t="s">
        <v>7</v>
      </c>
      <c r="E346" s="741" t="s">
        <v>8</v>
      </c>
      <c r="F346" s="741" t="s">
        <v>9</v>
      </c>
      <c r="G346" s="741" t="s">
        <v>10</v>
      </c>
      <c r="H346" s="741" t="s">
        <v>98</v>
      </c>
      <c r="I346" s="741" t="s">
        <v>239</v>
      </c>
      <c r="J346" s="741" t="str">
        <f>+'Yields, Margins &amp; Ratios'!AF3</f>
        <v>FY26</v>
      </c>
    </row>
    <row r="347" spans="2:28" x14ac:dyDescent="0.15">
      <c r="B347" s="936" t="s">
        <v>255</v>
      </c>
      <c r="C347" s="937"/>
      <c r="D347" s="938"/>
      <c r="E347" s="938"/>
      <c r="F347" s="938"/>
      <c r="G347" s="938"/>
      <c r="H347" s="938"/>
      <c r="I347" s="938"/>
      <c r="J347" s="939"/>
    </row>
    <row r="348" spans="2:28" x14ac:dyDescent="0.15">
      <c r="B348" s="901" t="s">
        <v>68</v>
      </c>
      <c r="C348" s="982">
        <v>0.13750000000000001</v>
      </c>
      <c r="D348" s="947">
        <v>0.1363</v>
      </c>
      <c r="E348" s="947">
        <v>0.13159999999999999</v>
      </c>
      <c r="F348" s="947">
        <v>0.1265</v>
      </c>
      <c r="G348" s="947">
        <v>0.13120000000000001</v>
      </c>
      <c r="H348" s="947">
        <v>0.1313</v>
      </c>
      <c r="I348" s="947">
        <v>0.1313</v>
      </c>
      <c r="J348" s="942">
        <f>+'Yields, Margins &amp; Ratios'!AF5</f>
        <v>0.12820000000000001</v>
      </c>
    </row>
    <row r="349" spans="2:28" x14ac:dyDescent="0.15">
      <c r="B349" s="901" t="s">
        <v>69</v>
      </c>
      <c r="C349" s="982">
        <v>8.7400000000000005E-2</v>
      </c>
      <c r="D349" s="947">
        <v>8.4400000000000003E-2</v>
      </c>
      <c r="E349" s="947">
        <v>7.3999999999999996E-2</v>
      </c>
      <c r="F349" s="947">
        <v>6.88E-2</v>
      </c>
      <c r="G349" s="947">
        <v>7.6100000000000001E-2</v>
      </c>
      <c r="H349" s="947">
        <v>8.0699999999999994E-2</v>
      </c>
      <c r="I349" s="947">
        <v>8.2400000000000001E-2</v>
      </c>
      <c r="J349" s="942">
        <f>+'Yields, Margins &amp; Ratios'!AF6</f>
        <v>7.6200000000000004E-2</v>
      </c>
    </row>
    <row r="350" spans="2:28" x14ac:dyDescent="0.15">
      <c r="B350" s="936" t="s">
        <v>70</v>
      </c>
      <c r="C350" s="1062">
        <v>5.0100000000000006E-2</v>
      </c>
      <c r="D350" s="1063">
        <v>5.1900000000000002E-2</v>
      </c>
      <c r="E350" s="1063">
        <v>5.7599999999999998E-2</v>
      </c>
      <c r="F350" s="1063">
        <v>5.7700000000000001E-2</v>
      </c>
      <c r="G350" s="1063">
        <v>5.510000000000001E-2</v>
      </c>
      <c r="H350" s="1063">
        <v>5.0600000000000006E-2</v>
      </c>
      <c r="I350" s="1063">
        <v>4.8899999999999999E-2</v>
      </c>
      <c r="J350" s="945">
        <f>+'Yields, Margins &amp; Ratios'!AF7</f>
        <v>5.1999999999999998E-2</v>
      </c>
    </row>
    <row r="351" spans="2:28" x14ac:dyDescent="0.15">
      <c r="B351" s="717"/>
      <c r="C351" s="946"/>
      <c r="D351" s="946"/>
      <c r="E351" s="946"/>
      <c r="F351" s="946"/>
      <c r="G351" s="946"/>
      <c r="H351" s="946"/>
      <c r="I351" s="946"/>
      <c r="J351" s="946"/>
    </row>
    <row r="352" spans="2:28" x14ac:dyDescent="0.15">
      <c r="B352" s="936" t="s">
        <v>71</v>
      </c>
      <c r="C352" s="937"/>
      <c r="D352" s="938"/>
      <c r="E352" s="938"/>
      <c r="F352" s="938"/>
      <c r="G352" s="938"/>
      <c r="H352" s="938"/>
      <c r="I352" s="938"/>
      <c r="J352" s="939"/>
    </row>
    <row r="353" spans="2:10" x14ac:dyDescent="0.15">
      <c r="B353" s="901" t="s">
        <v>123</v>
      </c>
      <c r="C353" s="1064">
        <v>0.13057863910996917</v>
      </c>
      <c r="D353" s="941">
        <v>0.12801065939980655</v>
      </c>
      <c r="E353" s="941">
        <v>0.12565369408621241</v>
      </c>
      <c r="F353" s="941">
        <v>0.12102942729460779</v>
      </c>
      <c r="G353" s="941">
        <v>0.12272813415464263</v>
      </c>
      <c r="H353" s="941">
        <v>0.12506149935933142</v>
      </c>
      <c r="I353" s="941">
        <v>0.12400992022317554</v>
      </c>
      <c r="J353" s="942">
        <f>+'Yields, Margins &amp; Ratios'!AF10</f>
        <v>0.11754348905080976</v>
      </c>
    </row>
    <row r="354" spans="2:10" x14ac:dyDescent="0.15">
      <c r="B354" s="901" t="s">
        <v>124</v>
      </c>
      <c r="C354" s="1064">
        <v>5.3851443769017182E-2</v>
      </c>
      <c r="D354" s="941">
        <v>5.4343405926538565E-2</v>
      </c>
      <c r="E354" s="941">
        <v>5.5894208315301945E-2</v>
      </c>
      <c r="F354" s="941">
        <v>4.8368895447094863E-2</v>
      </c>
      <c r="G354" s="941">
        <v>4.8967962989779859E-2</v>
      </c>
      <c r="H354" s="941">
        <v>5.5901898374055334E-2</v>
      </c>
      <c r="I354" s="941">
        <v>5.7817458408326271E-2</v>
      </c>
      <c r="J354" s="942">
        <f>+'Yields, Margins &amp; Ratios'!AF11</f>
        <v>5.5491006837184352E-2</v>
      </c>
    </row>
    <row r="355" spans="2:10" x14ac:dyDescent="0.15">
      <c r="B355" s="901" t="s">
        <v>169</v>
      </c>
      <c r="C355" s="1064">
        <v>1.6515122726718054E-2</v>
      </c>
      <c r="D355" s="941">
        <v>7.9569107312905327E-3</v>
      </c>
      <c r="E355" s="941">
        <v>7.3815527378423441E-3</v>
      </c>
      <c r="F355" s="941">
        <v>9.6554478557268307E-3</v>
      </c>
      <c r="G355" s="941">
        <v>9.0827562297106437E-3</v>
      </c>
      <c r="H355" s="941">
        <v>9.9397609082392223E-3</v>
      </c>
      <c r="I355" s="941">
        <v>1.0227653965578879E-2</v>
      </c>
      <c r="J355" s="942">
        <f>+'Yields, Margins &amp; Ratios'!AF12</f>
        <v>1.7267914885604432E-2</v>
      </c>
    </row>
    <row r="356" spans="2:10" x14ac:dyDescent="0.15">
      <c r="B356" s="955" t="s">
        <v>170</v>
      </c>
      <c r="C356" s="956">
        <v>9.3242318067670041E-2</v>
      </c>
      <c r="D356" s="957">
        <v>8.1624164204558508E-2</v>
      </c>
      <c r="E356" s="957">
        <v>7.7141038508752799E-2</v>
      </c>
      <c r="F356" s="957">
        <v>8.2315979703239756E-2</v>
      </c>
      <c r="G356" s="957">
        <v>8.2842927394573412E-2</v>
      </c>
      <c r="H356" s="957">
        <v>7.909936189351531E-2</v>
      </c>
      <c r="I356" s="957">
        <v>7.6420115780428149E-2</v>
      </c>
      <c r="J356" s="958">
        <f>+'Yields, Margins &amp; Ratios'!AF13</f>
        <v>7.9320397099229834E-2</v>
      </c>
    </row>
    <row r="357" spans="2:10" x14ac:dyDescent="0.15">
      <c r="B357" s="901" t="s">
        <v>72</v>
      </c>
      <c r="C357" s="940">
        <v>3.8087267389458938E-2</v>
      </c>
      <c r="D357" s="941">
        <v>3.3833621538776767E-2</v>
      </c>
      <c r="E357" s="941">
        <v>3.0140627281872986E-2</v>
      </c>
      <c r="F357" s="941">
        <v>3.4521773850903749E-2</v>
      </c>
      <c r="G357" s="941">
        <v>3.6884522891153015E-2</v>
      </c>
      <c r="H357" s="941">
        <v>3.5780192601668419E-2</v>
      </c>
      <c r="I357" s="941">
        <v>3.3178326125141017E-2</v>
      </c>
      <c r="J357" s="942">
        <f>+'Yields, Margins &amp; Ratios'!AF14</f>
        <v>3.5426652003503339E-2</v>
      </c>
    </row>
    <row r="358" spans="2:10" x14ac:dyDescent="0.15">
      <c r="B358" s="959" t="s">
        <v>165</v>
      </c>
      <c r="C358" s="960">
        <v>1.8408488522229029E-3</v>
      </c>
      <c r="D358" s="961">
        <v>2.309057585792044E-3</v>
      </c>
      <c r="E358" s="961">
        <v>4.4696554742849649E-3</v>
      </c>
      <c r="F358" s="961">
        <v>2.2627339472700491E-3</v>
      </c>
      <c r="G358" s="961">
        <v>1.0169405683210333E-3</v>
      </c>
      <c r="H358" s="961">
        <v>1.635399273453449E-3</v>
      </c>
      <c r="I358" s="961">
        <v>1.5438764816289043E-3</v>
      </c>
      <c r="J358" s="962">
        <f>+'Yields, Margins &amp; Ratios'!AF15</f>
        <v>1.6933748238706135E-3</v>
      </c>
    </row>
    <row r="359" spans="2:10" x14ac:dyDescent="0.15">
      <c r="B359" s="901" t="s">
        <v>73</v>
      </c>
      <c r="C359" s="940">
        <v>5.33E-2</v>
      </c>
      <c r="D359" s="941">
        <v>4.5472239507842196E-2</v>
      </c>
      <c r="E359" s="941">
        <v>4.2523469088958182E-2</v>
      </c>
      <c r="F359" s="941">
        <v>4.5530268444233496E-2</v>
      </c>
      <c r="G359" s="941">
        <v>4.4942722266180825E-2</v>
      </c>
      <c r="H359" s="941">
        <v>4.1727373274514729E-2</v>
      </c>
      <c r="I359" s="941">
        <v>4.1697913173658223E-2</v>
      </c>
      <c r="J359" s="942">
        <f>+'Yields, Margins &amp; Ratios'!AF16</f>
        <v>4.2200370271855879E-2</v>
      </c>
    </row>
    <row r="360" spans="2:10" x14ac:dyDescent="0.15">
      <c r="B360" s="936" t="s">
        <v>74</v>
      </c>
      <c r="C360" s="943">
        <v>3.6394700938653768E-2</v>
      </c>
      <c r="D360" s="944">
        <v>3.7504300617694421E-2</v>
      </c>
      <c r="E360" s="944">
        <v>3.484097845825309E-2</v>
      </c>
      <c r="F360" s="944">
        <v>3.5714853270755943E-2</v>
      </c>
      <c r="G360" s="944">
        <v>3.5207194924761737E-2</v>
      </c>
      <c r="H360" s="944">
        <v>3.2789472494081401E-2</v>
      </c>
      <c r="I360" s="944">
        <v>3.2677408981324985E-2</v>
      </c>
      <c r="J360" s="945">
        <f>+'Yields, Margins &amp; Ratios'!AF17</f>
        <v>3.2918549272320283E-2</v>
      </c>
    </row>
    <row r="361" spans="2:10" x14ac:dyDescent="0.15">
      <c r="B361" s="901" t="s">
        <v>75</v>
      </c>
      <c r="C361" s="963">
        <v>3.1937122853113014</v>
      </c>
      <c r="D361" s="964">
        <v>3.3760909151084313</v>
      </c>
      <c r="E361" s="964">
        <v>3.6933819650119024</v>
      </c>
      <c r="F361" s="964">
        <v>3.8349799574376351</v>
      </c>
      <c r="G361" s="964">
        <v>4.0193641026151417</v>
      </c>
      <c r="H361" s="964">
        <v>4.2496223268069508</v>
      </c>
      <c r="I361" s="964">
        <v>4.319804623109702</v>
      </c>
      <c r="J361" s="965">
        <f>+'Yields, Margins &amp; Ratios'!AF18</f>
        <v>4.2320801773198937</v>
      </c>
    </row>
    <row r="362" spans="2:10" x14ac:dyDescent="0.15">
      <c r="B362" s="936" t="s">
        <v>76</v>
      </c>
      <c r="C362" s="943">
        <v>0.1163849583843159</v>
      </c>
      <c r="D362" s="944">
        <v>0.1265943697599336</v>
      </c>
      <c r="E362" s="944">
        <v>0.12905417134585609</v>
      </c>
      <c r="F362" s="944">
        <v>0.1372378740998757</v>
      </c>
      <c r="G362" s="944">
        <v>0.14092045121152208</v>
      </c>
      <c r="H362" s="944">
        <v>0.139381951146063</v>
      </c>
      <c r="I362" s="944">
        <v>0.14116002238877415</v>
      </c>
      <c r="J362" s="945">
        <f>+'Yields, Margins &amp; Ratios'!AF19</f>
        <v>0.13931393984151488</v>
      </c>
    </row>
    <row r="363" spans="2:10" x14ac:dyDescent="0.15">
      <c r="B363" s="967"/>
      <c r="C363" s="1065"/>
      <c r="D363" s="1065"/>
      <c r="E363" s="1065"/>
      <c r="F363" s="1065"/>
      <c r="G363" s="1065"/>
      <c r="H363" s="1065"/>
      <c r="I363" s="1065"/>
      <c r="J363" s="971"/>
    </row>
    <row r="364" spans="2:10" x14ac:dyDescent="0.15">
      <c r="B364" s="768" t="s">
        <v>77</v>
      </c>
      <c r="C364" s="1066"/>
      <c r="D364" s="949"/>
      <c r="E364" s="949"/>
      <c r="F364" s="949"/>
      <c r="G364" s="949"/>
      <c r="H364" s="949"/>
      <c r="I364" s="949"/>
      <c r="J364" s="939"/>
    </row>
    <row r="365" spans="2:10" x14ac:dyDescent="0.15">
      <c r="B365" s="744" t="s">
        <v>78</v>
      </c>
      <c r="C365" s="951">
        <v>0.40847620647853894</v>
      </c>
      <c r="D365" s="952">
        <v>0.41455192390942019</v>
      </c>
      <c r="E365" s="952">
        <v>0.39075795693686849</v>
      </c>
      <c r="F365" s="952">
        <v>0.4193873254206657</v>
      </c>
      <c r="G365" s="952">
        <v>0.44522765922643076</v>
      </c>
      <c r="H365" s="952">
        <v>0.45210246001334015</v>
      </c>
      <c r="I365" s="952">
        <v>0.43415697275923615</v>
      </c>
      <c r="J365" s="976">
        <f>+'Yields, Margins &amp; Ratios'!AF22</f>
        <v>0.44662726485325827</v>
      </c>
    </row>
    <row r="366" spans="2:10" x14ac:dyDescent="0.15">
      <c r="B366" s="977" t="s">
        <v>79</v>
      </c>
      <c r="C366" s="978">
        <v>3.6764908172388214E-2</v>
      </c>
      <c r="D366" s="979">
        <v>3.2718363899950351E-2</v>
      </c>
      <c r="E366" s="979">
        <v>2.9035846644608607E-2</v>
      </c>
      <c r="F366" s="979">
        <v>3.3154352130747758E-2</v>
      </c>
      <c r="G366" s="979">
        <v>3.5314773245566103E-2</v>
      </c>
      <c r="H366" s="979">
        <v>3.3977966507008295E-2</v>
      </c>
      <c r="I366" s="979">
        <v>3.0896645007626511E-2</v>
      </c>
      <c r="J366" s="980">
        <f>+'Yields, Margins &amp; Ratios'!AF23</f>
        <v>3.2163606676978714E-2</v>
      </c>
    </row>
    <row r="367" spans="2:10" x14ac:dyDescent="0.15">
      <c r="B367" s="748" t="s">
        <v>80</v>
      </c>
      <c r="C367" s="982">
        <v>0.67769999999999997</v>
      </c>
      <c r="D367" s="947">
        <v>0.55850000000000011</v>
      </c>
      <c r="E367" s="947">
        <v>0.5454</v>
      </c>
      <c r="F367" s="947">
        <v>0.5141</v>
      </c>
      <c r="G367" s="947">
        <v>0.46960000000000002</v>
      </c>
      <c r="H367" s="947">
        <v>0.43990000000000001</v>
      </c>
      <c r="I367" s="947">
        <v>0.44500000000000001</v>
      </c>
      <c r="J367" s="708">
        <f>+'Yields, Margins &amp; Ratios'!AF24</f>
        <v>0.44579999999999997</v>
      </c>
    </row>
    <row r="368" spans="2:10" x14ac:dyDescent="0.15">
      <c r="B368" s="806" t="s">
        <v>164</v>
      </c>
      <c r="C368" s="983">
        <v>235.2</v>
      </c>
      <c r="D368" s="984">
        <v>267.89999999999998</v>
      </c>
      <c r="E368" s="984">
        <v>305.89999999999998</v>
      </c>
      <c r="F368" s="984">
        <v>355.8</v>
      </c>
      <c r="G368" s="1067">
        <v>413.6</v>
      </c>
      <c r="H368" s="1067">
        <v>476.8</v>
      </c>
      <c r="I368" s="1067">
        <v>550.93244965507051</v>
      </c>
      <c r="J368" s="985">
        <f>+'Yields, Margins &amp; Ratios'!AF25</f>
        <v>637.18258190292988</v>
      </c>
    </row>
    <row r="369" spans="2:10" x14ac:dyDescent="0.15">
      <c r="B369" s="717"/>
      <c r="C369" s="935"/>
      <c r="D369" s="935"/>
      <c r="E369" s="935"/>
      <c r="F369" s="935"/>
      <c r="G369" s="935"/>
      <c r="H369" s="935"/>
      <c r="I369" s="935"/>
      <c r="J369" s="991"/>
    </row>
    <row r="370" spans="2:10" x14ac:dyDescent="0.15">
      <c r="B370" s="744" t="s">
        <v>81</v>
      </c>
      <c r="C370" s="995">
        <v>48334.654357250656</v>
      </c>
      <c r="D370" s="996">
        <v>66419.184411856579</v>
      </c>
      <c r="E370" s="996">
        <v>83085.279840449861</v>
      </c>
      <c r="F370" s="996">
        <v>99902.149989200087</v>
      </c>
      <c r="G370" s="996">
        <v>122154.57059248569</v>
      </c>
      <c r="H370" s="996">
        <v>149649.92335957469</v>
      </c>
      <c r="I370" s="996">
        <v>175689.63875510482</v>
      </c>
      <c r="J370" s="997">
        <f>+'Yields, Margins &amp; Ratios'!AF27</f>
        <v>199154.87432198043</v>
      </c>
    </row>
    <row r="371" spans="2:10" x14ac:dyDescent="0.15">
      <c r="B371" s="748" t="s">
        <v>82</v>
      </c>
      <c r="C371" s="999">
        <v>15134.317070311587</v>
      </c>
      <c r="D371" s="619">
        <v>19674.46505714985</v>
      </c>
      <c r="E371" s="619">
        <v>22496.692450109862</v>
      </c>
      <c r="F371" s="619">
        <v>26050.240444007512</v>
      </c>
      <c r="G371" s="619">
        <v>30391.516536908803</v>
      </c>
      <c r="H371" s="619">
        <v>35214.876017468952</v>
      </c>
      <c r="I371" s="619">
        <v>40670.737240109476</v>
      </c>
      <c r="J371" s="1000">
        <f>+'Yields, Margins &amp; Ratios'!AF28</f>
        <v>47058.388777525928</v>
      </c>
    </row>
    <row r="372" spans="2:10" x14ac:dyDescent="0.15">
      <c r="B372" s="748" t="s">
        <v>83</v>
      </c>
      <c r="C372" s="999">
        <v>50073.153890379945</v>
      </c>
      <c r="D372" s="619">
        <v>68688.512163373598</v>
      </c>
      <c r="E372" s="619">
        <v>86251.923386948853</v>
      </c>
      <c r="F372" s="619">
        <v>104022.5250362307</v>
      </c>
      <c r="G372" s="619">
        <v>127584.3688404031</v>
      </c>
      <c r="H372" s="619">
        <v>157396.54212479567</v>
      </c>
      <c r="I372" s="619">
        <v>188664.113206668</v>
      </c>
      <c r="J372" s="1000">
        <f>+'Yields, Margins &amp; Ratios'!AF29</f>
        <v>219359.43</v>
      </c>
    </row>
    <row r="373" spans="2:10" x14ac:dyDescent="0.15">
      <c r="B373" s="806" t="s">
        <v>84</v>
      </c>
      <c r="C373" s="1002">
        <v>29428.659419583557</v>
      </c>
      <c r="D373" s="1003">
        <v>45026.431692662911</v>
      </c>
      <c r="E373" s="1003">
        <v>58487.291516734353</v>
      </c>
      <c r="F373" s="1003">
        <v>71589.60098781118</v>
      </c>
      <c r="G373" s="1003">
        <v>89065.940327547549</v>
      </c>
      <c r="H373" s="1003">
        <v>110885.93204277792</v>
      </c>
      <c r="I373" s="1003">
        <v>167510.32500000001</v>
      </c>
      <c r="J373" s="1004">
        <f>+'Yields, Margins &amp; Ratios'!AF30</f>
        <v>191861.78600000002</v>
      </c>
    </row>
    <row r="374" spans="2:10" x14ac:dyDescent="0.15">
      <c r="C374" s="612"/>
      <c r="D374" s="612"/>
      <c r="E374" s="612"/>
      <c r="F374" s="612"/>
      <c r="G374" s="612"/>
      <c r="H374" s="612"/>
      <c r="I374" s="612"/>
      <c r="J374" s="612"/>
    </row>
    <row r="375" spans="2:10" x14ac:dyDescent="0.15">
      <c r="C375" s="612"/>
      <c r="D375" s="612"/>
      <c r="E375" s="612"/>
      <c r="F375" s="612"/>
      <c r="G375" s="612"/>
      <c r="H375" s="612"/>
      <c r="I375" s="612"/>
      <c r="J375" s="612"/>
    </row>
    <row r="376" spans="2:10" x14ac:dyDescent="0.15">
      <c r="B376" s="815" t="s">
        <v>263</v>
      </c>
      <c r="C376" s="612"/>
      <c r="D376" s="612"/>
      <c r="E376" s="612"/>
      <c r="F376" s="612"/>
      <c r="G376" s="612"/>
      <c r="H376" s="612"/>
      <c r="I376" s="612"/>
      <c r="J376" s="612"/>
    </row>
    <row r="377" spans="2:10" x14ac:dyDescent="0.15">
      <c r="B377" s="699" t="s">
        <v>162</v>
      </c>
      <c r="C377" s="700" t="s">
        <v>6</v>
      </c>
      <c r="D377" s="618" t="s">
        <v>7</v>
      </c>
      <c r="E377" s="618" t="s">
        <v>8</v>
      </c>
      <c r="F377" s="618" t="s">
        <v>9</v>
      </c>
      <c r="G377" s="618" t="s">
        <v>10</v>
      </c>
      <c r="H377" s="618" t="s">
        <v>98</v>
      </c>
      <c r="I377" s="618" t="s">
        <v>239</v>
      </c>
      <c r="J377" s="618" t="str">
        <f>+Liabilities!AF3</f>
        <v>FY26</v>
      </c>
    </row>
    <row r="378" spans="2:10" x14ac:dyDescent="0.15">
      <c r="B378" s="1008" t="s">
        <v>256</v>
      </c>
      <c r="C378" s="1068"/>
      <c r="D378" s="1069"/>
      <c r="E378" s="1069"/>
      <c r="F378" s="1069"/>
      <c r="G378" s="1069"/>
      <c r="H378" s="1069"/>
      <c r="I378" s="1069"/>
      <c r="J378" s="1011"/>
    </row>
    <row r="379" spans="2:10" x14ac:dyDescent="0.15">
      <c r="B379" s="748" t="s">
        <v>118</v>
      </c>
      <c r="C379" s="925">
        <v>20417.2</v>
      </c>
      <c r="D379" s="986">
        <v>29673</v>
      </c>
      <c r="E379" s="986">
        <v>28218.9</v>
      </c>
      <c r="F379" s="986">
        <v>38875.300000000003</v>
      </c>
      <c r="G379" s="986">
        <v>56305.200000000004</v>
      </c>
      <c r="H379" s="986">
        <v>73889.600000000006</v>
      </c>
      <c r="I379" s="986">
        <v>91426.5</v>
      </c>
      <c r="J379" s="1014">
        <f>+Liabilities!AF5</f>
        <v>106252</v>
      </c>
    </row>
    <row r="380" spans="2:10" x14ac:dyDescent="0.15">
      <c r="B380" s="748" t="s">
        <v>241</v>
      </c>
      <c r="C380" s="925">
        <v>13546.399999999998</v>
      </c>
      <c r="D380" s="986">
        <v>17304.5</v>
      </c>
      <c r="E380" s="986">
        <v>20052.900000000001</v>
      </c>
      <c r="F380" s="986">
        <v>23472.400000000001</v>
      </c>
      <c r="G380" s="986">
        <v>27566.399999999998</v>
      </c>
      <c r="H380" s="986">
        <v>37170</v>
      </c>
      <c r="I380" s="986">
        <v>45235</v>
      </c>
      <c r="J380" s="1014">
        <f>+Liabilities!AF6</f>
        <v>55764.2</v>
      </c>
    </row>
    <row r="381" spans="2:10" x14ac:dyDescent="0.15">
      <c r="B381" s="748" t="s">
        <v>120</v>
      </c>
      <c r="C381" s="925">
        <v>8972.2000000000007</v>
      </c>
      <c r="D381" s="986">
        <v>9512.9</v>
      </c>
      <c r="E381" s="986">
        <v>18723.900000000001</v>
      </c>
      <c r="F381" s="986">
        <v>22067.5</v>
      </c>
      <c r="G381" s="986">
        <v>26028.699999999997</v>
      </c>
      <c r="H381" s="986">
        <v>30415.8</v>
      </c>
      <c r="I381" s="986">
        <v>25767.85</v>
      </c>
      <c r="J381" s="1014">
        <f>+Liabilities!AF7</f>
        <v>21859.489999999998</v>
      </c>
    </row>
    <row r="382" spans="2:10" x14ac:dyDescent="0.15">
      <c r="B382" s="748" t="s">
        <v>237</v>
      </c>
      <c r="C382" s="925">
        <v>5400</v>
      </c>
      <c r="D382" s="986">
        <v>12794</v>
      </c>
      <c r="E382" s="986">
        <v>15744</v>
      </c>
      <c r="F382" s="986">
        <v>18192.2</v>
      </c>
      <c r="G382" s="986">
        <v>15308.5</v>
      </c>
      <c r="H382" s="986">
        <v>14074.8</v>
      </c>
      <c r="I382" s="986">
        <v>17041.099999999999</v>
      </c>
      <c r="J382" s="1014">
        <f>+Liabilities!AF8</f>
        <v>18507.400000000001</v>
      </c>
    </row>
    <row r="383" spans="2:10" x14ac:dyDescent="0.15">
      <c r="B383" s="748" t="s">
        <v>122</v>
      </c>
      <c r="C383" s="925">
        <v>0</v>
      </c>
      <c r="D383" s="986">
        <v>245.7</v>
      </c>
      <c r="E383" s="986">
        <v>0</v>
      </c>
      <c r="F383" s="986">
        <v>0</v>
      </c>
      <c r="G383" s="986">
        <v>0</v>
      </c>
      <c r="H383" s="986">
        <v>0</v>
      </c>
      <c r="I383" s="986">
        <v>0</v>
      </c>
      <c r="J383" s="1014">
        <f>+Liabilities!AF9</f>
        <v>1870.0319999999999</v>
      </c>
    </row>
    <row r="384" spans="2:10" x14ac:dyDescent="0.15">
      <c r="B384" s="768" t="s">
        <v>171</v>
      </c>
      <c r="C384" s="1070">
        <v>48335.8</v>
      </c>
      <c r="D384" s="1071">
        <v>69530.099999999991</v>
      </c>
      <c r="E384" s="1071">
        <v>82739.700000000012</v>
      </c>
      <c r="F384" s="1071">
        <v>102607.40000000001</v>
      </c>
      <c r="G384" s="1071">
        <v>125208.8</v>
      </c>
      <c r="H384" s="1071">
        <v>155550.19999999998</v>
      </c>
      <c r="I384" s="1071">
        <v>179470.45</v>
      </c>
      <c r="J384" s="1020">
        <f>+Liabilities!AF10</f>
        <v>204253.122</v>
      </c>
    </row>
    <row r="385" spans="2:10" x14ac:dyDescent="0.15">
      <c r="B385" s="1021" t="s">
        <v>173</v>
      </c>
      <c r="C385" s="1022">
        <v>143</v>
      </c>
      <c r="D385" s="1023">
        <v>134</v>
      </c>
      <c r="E385" s="1023">
        <v>130</v>
      </c>
      <c r="F385" s="1023">
        <v>125.9</v>
      </c>
      <c r="G385" s="1023">
        <v>128</v>
      </c>
      <c r="H385" s="1023">
        <v>132.17824873051885</v>
      </c>
      <c r="I385" s="1023">
        <v>130</v>
      </c>
      <c r="J385" s="1024">
        <f>+Liabilities!AF11</f>
        <v>130</v>
      </c>
    </row>
    <row r="386" spans="2:10" x14ac:dyDescent="0.15">
      <c r="B386" s="1025" t="s">
        <v>172</v>
      </c>
      <c r="C386" s="1026">
        <v>6802</v>
      </c>
      <c r="D386" s="1027">
        <v>6647</v>
      </c>
      <c r="E386" s="1027">
        <v>5496</v>
      </c>
      <c r="F386" s="1027">
        <v>7784</v>
      </c>
      <c r="G386" s="1027">
        <v>9541</v>
      </c>
      <c r="H386" s="1027">
        <v>12428</v>
      </c>
      <c r="I386" s="1027">
        <v>15225.92889617</v>
      </c>
      <c r="J386" s="1028">
        <f>+Liabilities!AF12</f>
        <v>16771</v>
      </c>
    </row>
    <row r="387" spans="2:10" x14ac:dyDescent="0.15">
      <c r="B387" s="967"/>
      <c r="C387" s="1072"/>
      <c r="D387" s="1072"/>
      <c r="E387" s="1072"/>
      <c r="F387" s="1072"/>
      <c r="G387" s="1072"/>
      <c r="H387" s="1072"/>
      <c r="I387" s="1072"/>
      <c r="J387" s="1029"/>
    </row>
    <row r="388" spans="2:10" x14ac:dyDescent="0.15">
      <c r="B388" s="768" t="s">
        <v>257</v>
      </c>
      <c r="C388" s="799"/>
      <c r="D388" s="800"/>
      <c r="E388" s="800"/>
      <c r="F388" s="800"/>
      <c r="G388" s="800"/>
      <c r="H388" s="800"/>
      <c r="I388" s="800"/>
      <c r="J388" s="1032"/>
    </row>
    <row r="389" spans="2:10" x14ac:dyDescent="0.15">
      <c r="B389" s="744" t="s">
        <v>118</v>
      </c>
      <c r="C389" s="974">
        <v>0.42240327045378373</v>
      </c>
      <c r="D389" s="975">
        <v>0.42676481121125964</v>
      </c>
      <c r="E389" s="975">
        <v>0.34105634900779186</v>
      </c>
      <c r="F389" s="975">
        <v>0.37887423324243669</v>
      </c>
      <c r="G389" s="975">
        <v>0.4496904370938784</v>
      </c>
      <c r="H389" s="1073">
        <v>0.47502092572044274</v>
      </c>
      <c r="I389" s="1073">
        <v>0.50942369621294203</v>
      </c>
      <c r="J389" s="1048">
        <f>+Liabilities!AF15</f>
        <v>0.52019767903474201</v>
      </c>
    </row>
    <row r="390" spans="2:10" x14ac:dyDescent="0.15">
      <c r="B390" s="748" t="s">
        <v>119</v>
      </c>
      <c r="C390" s="982">
        <v>0.28025604210543731</v>
      </c>
      <c r="D390" s="947">
        <v>0.24887782413659698</v>
      </c>
      <c r="E390" s="947">
        <v>0.24236128484874853</v>
      </c>
      <c r="F390" s="947">
        <v>0.22875932924915746</v>
      </c>
      <c r="G390" s="947">
        <v>0.22016343899150856</v>
      </c>
      <c r="H390" s="814">
        <v>0.23895822699038641</v>
      </c>
      <c r="I390" s="814">
        <v>0.25204706401527383</v>
      </c>
      <c r="J390" s="1074">
        <f>+Liabilities!AF16</f>
        <v>0.27301516595667996</v>
      </c>
    </row>
    <row r="391" spans="2:10" x14ac:dyDescent="0.15">
      <c r="B391" s="748" t="s">
        <v>120</v>
      </c>
      <c r="C391" s="982">
        <v>0.18562225100236265</v>
      </c>
      <c r="D391" s="947">
        <v>0.13681700443405087</v>
      </c>
      <c r="E391" s="947">
        <v>0.22629886257745677</v>
      </c>
      <c r="F391" s="947">
        <v>0.21506733432481476</v>
      </c>
      <c r="G391" s="947">
        <v>0.20788235331701924</v>
      </c>
      <c r="H391" s="814">
        <v>0.1955368749124077</v>
      </c>
      <c r="I391" s="814">
        <v>0.143577118127246</v>
      </c>
      <c r="J391" s="1074">
        <f>+Liabilities!AF17</f>
        <v>0.10702157100932831</v>
      </c>
    </row>
    <row r="392" spans="2:10" x14ac:dyDescent="0.15">
      <c r="B392" s="748" t="s">
        <v>121</v>
      </c>
      <c r="C392" s="982">
        <v>0.11171843643841624</v>
      </c>
      <c r="D392" s="947">
        <v>0.18400663885137519</v>
      </c>
      <c r="E392" s="947">
        <v>0.19028350356600274</v>
      </c>
      <c r="F392" s="947">
        <v>0.17729910318359104</v>
      </c>
      <c r="G392" s="947">
        <v>0.12226377059759377</v>
      </c>
      <c r="H392" s="814">
        <v>9.0483972376763269E-2</v>
      </c>
      <c r="I392" s="814">
        <v>9.4952121644538132E-2</v>
      </c>
      <c r="J392" s="1074">
        <f>+Liabilities!AF18</f>
        <v>9.0610120515073458E-2</v>
      </c>
    </row>
    <row r="393" spans="2:10" x14ac:dyDescent="0.15">
      <c r="B393" s="748" t="s">
        <v>122</v>
      </c>
      <c r="C393" s="925">
        <v>0</v>
      </c>
      <c r="D393" s="947">
        <v>3.5337213667174364E-3</v>
      </c>
      <c r="E393" s="986">
        <v>0</v>
      </c>
      <c r="F393" s="986">
        <v>0</v>
      </c>
      <c r="G393" s="986">
        <v>0</v>
      </c>
      <c r="H393" s="1075">
        <v>0</v>
      </c>
      <c r="I393" s="1075">
        <v>0</v>
      </c>
      <c r="J393" s="1039">
        <f>+Liabilities!AF19</f>
        <v>9.1554634841762659E-3</v>
      </c>
    </row>
    <row r="394" spans="2:10" x14ac:dyDescent="0.15">
      <c r="B394" s="768" t="s">
        <v>85</v>
      </c>
      <c r="C394" s="1040">
        <v>1</v>
      </c>
      <c r="D394" s="1041">
        <v>1.0000000000000002</v>
      </c>
      <c r="E394" s="1041">
        <v>1</v>
      </c>
      <c r="F394" s="1041">
        <v>1</v>
      </c>
      <c r="G394" s="1041">
        <v>0.99999999999999989</v>
      </c>
      <c r="H394" s="1041">
        <v>1</v>
      </c>
      <c r="I394" s="1041">
        <v>1</v>
      </c>
      <c r="J394" s="1042">
        <f>+Liabilities!AF20</f>
        <v>1</v>
      </c>
    </row>
    <row r="395" spans="2:10" x14ac:dyDescent="0.15">
      <c r="B395" s="967"/>
      <c r="C395" s="1076"/>
      <c r="D395" s="1076"/>
      <c r="E395" s="1076"/>
      <c r="F395" s="1076"/>
      <c r="G395" s="1076"/>
      <c r="H395" s="1076"/>
      <c r="I395" s="1076"/>
      <c r="J395" s="1044"/>
    </row>
    <row r="396" spans="2:10" x14ac:dyDescent="0.15">
      <c r="B396" s="768" t="s">
        <v>136</v>
      </c>
      <c r="C396" s="799"/>
      <c r="D396" s="800"/>
      <c r="E396" s="800"/>
      <c r="F396" s="800"/>
      <c r="G396" s="800"/>
      <c r="H396" s="800"/>
      <c r="I396" s="800"/>
      <c r="J396" s="1032"/>
    </row>
    <row r="397" spans="2:10" x14ac:dyDescent="0.15">
      <c r="B397" s="1045" t="s">
        <v>135</v>
      </c>
      <c r="C397" s="801">
        <v>0.32865081368261206</v>
      </c>
      <c r="D397" s="802">
        <v>0.32935423558176324</v>
      </c>
      <c r="E397" s="802">
        <v>0.36616928290685474</v>
      </c>
      <c r="F397" s="802">
        <v>0.32430117126055236</v>
      </c>
      <c r="G397" s="802">
        <v>0.28498635878628342</v>
      </c>
      <c r="H397" s="802">
        <v>0.2674358502914172</v>
      </c>
      <c r="I397" s="802">
        <v>0.19120217515244139</v>
      </c>
      <c r="J397" s="1048">
        <f>+Liabilities!AF23</f>
        <v>0.17856128534475962</v>
      </c>
    </row>
    <row r="398" spans="2:10" x14ac:dyDescent="0.15">
      <c r="B398" s="1049" t="s">
        <v>151</v>
      </c>
      <c r="C398" s="807">
        <v>0.67134918631738794</v>
      </c>
      <c r="D398" s="808">
        <v>0.67064576441823676</v>
      </c>
      <c r="E398" s="808">
        <v>0.6338307170931452</v>
      </c>
      <c r="F398" s="808">
        <v>0.67569882873944764</v>
      </c>
      <c r="G398" s="808">
        <v>0.71501364121371658</v>
      </c>
      <c r="H398" s="808">
        <v>0.73256414970858275</v>
      </c>
      <c r="I398" s="808">
        <v>0.80879782484755869</v>
      </c>
      <c r="J398" s="1052">
        <f>+Liabilities!AF24</f>
        <v>0.82143871465524043</v>
      </c>
    </row>
    <row r="399" spans="2:10" x14ac:dyDescent="0.15">
      <c r="B399" s="813"/>
      <c r="C399" s="826"/>
      <c r="D399" s="826"/>
      <c r="E399" s="826"/>
      <c r="F399" s="826"/>
      <c r="G399" s="826"/>
      <c r="H399" s="826"/>
      <c r="I399" s="826"/>
      <c r="J399" s="1053"/>
    </row>
    <row r="400" spans="2:10" x14ac:dyDescent="0.15">
      <c r="B400" s="750" t="s">
        <v>86</v>
      </c>
      <c r="C400" s="799"/>
      <c r="D400" s="800"/>
      <c r="E400" s="800"/>
      <c r="F400" s="800"/>
      <c r="G400" s="800"/>
      <c r="H400" s="800"/>
      <c r="I400" s="800"/>
      <c r="J400" s="1077"/>
    </row>
    <row r="401" spans="2:11" ht="18" x14ac:dyDescent="0.15">
      <c r="B401" s="744" t="s">
        <v>87</v>
      </c>
      <c r="C401" s="1056" t="s">
        <v>127</v>
      </c>
      <c r="D401" s="1057" t="s">
        <v>127</v>
      </c>
      <c r="E401" s="1057" t="s">
        <v>127</v>
      </c>
      <c r="F401" s="1057" t="s">
        <v>126</v>
      </c>
      <c r="G401" s="1057" t="s">
        <v>126</v>
      </c>
      <c r="H401" s="1057" t="s">
        <v>125</v>
      </c>
      <c r="I401" s="1057" t="s">
        <v>125</v>
      </c>
      <c r="J401" s="1058" t="str">
        <f>+Liabilities!AF27</f>
        <v>AA 
/ Positive</v>
      </c>
    </row>
    <row r="402" spans="2:11" ht="18" x14ac:dyDescent="0.15">
      <c r="B402" s="806" t="s">
        <v>88</v>
      </c>
      <c r="C402" s="1059" t="s">
        <v>128</v>
      </c>
      <c r="D402" s="1060" t="s">
        <v>128</v>
      </c>
      <c r="E402" s="1060" t="s">
        <v>127</v>
      </c>
      <c r="F402" s="1060" t="s">
        <v>126</v>
      </c>
      <c r="G402" s="1060" t="s">
        <v>126</v>
      </c>
      <c r="H402" s="1060" t="s">
        <v>125</v>
      </c>
      <c r="I402" s="1060" t="s">
        <v>125</v>
      </c>
      <c r="J402" s="1061" t="str">
        <f>+Liabilities!AF28</f>
        <v>AA 
/ Positive</v>
      </c>
    </row>
    <row r="409" spans="2:11" x14ac:dyDescent="0.15">
      <c r="H409" s="612"/>
      <c r="I409" s="612"/>
      <c r="J409" s="612"/>
      <c r="K409" s="612"/>
    </row>
    <row r="411" spans="2:11" x14ac:dyDescent="0.15">
      <c r="H411" s="612"/>
      <c r="I411" s="612"/>
      <c r="J411" s="612"/>
      <c r="K411" s="612"/>
    </row>
    <row r="412" spans="2:11" x14ac:dyDescent="0.15">
      <c r="H412" s="612"/>
      <c r="I412" s="612"/>
      <c r="J412" s="612"/>
      <c r="K412" s="612"/>
    </row>
    <row r="413" spans="2:11" x14ac:dyDescent="0.15">
      <c r="H413" s="612"/>
      <c r="I413" s="612"/>
      <c r="J413" s="612"/>
      <c r="K413" s="612"/>
    </row>
  </sheetData>
  <mergeCells count="1">
    <mergeCell ref="B2:P2"/>
  </mergeCells>
  <hyperlinks>
    <hyperlink ref="A1" location="Index!A1" display="Index" xr:uid="{B4CE36C2-B994-4004-9D91-B04643848828}"/>
  </hyperlinks>
  <pageMargins left="0.23622047244094491" right="0.23622047244094491" top="0.19685039370078741" bottom="0.15748031496062992" header="0.11811023622047245" footer="0.11811023622047245"/>
  <pageSetup paperSize="9" scale="87" fitToHeight="0" orientation="landscape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  <rowBreaks count="5" manualBreakCount="5">
    <brk id="72" min="1" max="16" man="1"/>
    <brk id="143" min="1" max="16" man="1"/>
    <brk id="213" min="1" max="16" man="1"/>
    <brk id="283" min="1" max="16" man="1"/>
    <brk id="343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K32"/>
  <sheetViews>
    <sheetView showGridLines="0" zoomScale="80" zoomScaleNormal="80" workbookViewId="0">
      <pane xSplit="2" ySplit="4" topLeftCell="K5" activePane="bottomRight" state="frozen"/>
      <selection activeCell="B16" sqref="B16"/>
      <selection pane="topRight" activeCell="B16" sqref="B16"/>
      <selection pane="bottomLeft" activeCell="B16" sqref="B16"/>
      <selection pane="bottomRight" activeCell="Y4" sqref="Y4"/>
    </sheetView>
  </sheetViews>
  <sheetFormatPr defaultColWidth="9.140625" defaultRowHeight="15" outlineLevelRow="1" outlineLevelCol="1" x14ac:dyDescent="0.25"/>
  <cols>
    <col min="1" max="1" width="5.85546875" style="1" bestFit="1" customWidth="1"/>
    <col min="2" max="2" width="41" style="15" customWidth="1"/>
    <col min="3" max="4" width="9.85546875" style="6" hidden="1" customWidth="1" outlineLevel="1"/>
    <col min="5" max="6" width="10.42578125" style="6" hidden="1" customWidth="1" outlineLevel="1"/>
    <col min="7" max="10" width="10.42578125" style="1" hidden="1" customWidth="1" outlineLevel="1"/>
    <col min="11" max="11" width="9.85546875" style="1" bestFit="1" customWidth="1" collapsed="1"/>
    <col min="12" max="15" width="9.85546875" style="1" bestFit="1" customWidth="1"/>
    <col min="16" max="16" width="9.85546875" style="6" bestFit="1" customWidth="1"/>
    <col min="17" max="18" width="10.140625" style="6" bestFit="1" customWidth="1"/>
    <col min="19" max="21" width="9.85546875" style="6" bestFit="1" customWidth="1"/>
    <col min="22" max="23" width="9.85546875" style="6" customWidth="1"/>
    <col min="24" max="24" width="7.85546875" style="1" bestFit="1" customWidth="1"/>
    <col min="25" max="25" width="7" style="1" bestFit="1" customWidth="1"/>
    <col min="26" max="26" width="8" style="318" customWidth="1"/>
    <col min="27" max="28" width="8.140625" style="6" hidden="1" customWidth="1" outlineLevel="1"/>
    <col min="29" max="29" width="9.28515625" style="6" bestFit="1" customWidth="1" collapsed="1"/>
    <col min="30" max="30" width="9.28515625" style="6" bestFit="1" customWidth="1"/>
    <col min="31" max="32" width="10.140625" style="6" bestFit="1" customWidth="1"/>
    <col min="33" max="33" width="9.42578125" style="6" bestFit="1" customWidth="1"/>
    <col min="34" max="34" width="9.42578125" style="6" customWidth="1"/>
    <col min="35" max="35" width="6.140625" style="594" bestFit="1" customWidth="1"/>
    <col min="36" max="36" width="9.28515625" style="594" bestFit="1" customWidth="1"/>
    <col min="37" max="16384" width="9.140625" style="1"/>
  </cols>
  <sheetData>
    <row r="1" spans="1:36" x14ac:dyDescent="0.25">
      <c r="A1" s="81" t="s">
        <v>0</v>
      </c>
      <c r="H1" s="2"/>
      <c r="I1" s="2"/>
      <c r="J1" s="2"/>
      <c r="K1" s="2"/>
    </row>
    <row r="2" spans="1:36" x14ac:dyDescent="0.25">
      <c r="Y2" s="555"/>
    </row>
    <row r="3" spans="1:36" x14ac:dyDescent="0.25">
      <c r="G3" s="11"/>
    </row>
    <row r="4" spans="1:36" s="110" customFormat="1" ht="15" customHeight="1" x14ac:dyDescent="0.25">
      <c r="B4" s="111" t="s">
        <v>160</v>
      </c>
      <c r="C4" s="108" t="s">
        <v>178</v>
      </c>
      <c r="D4" s="85" t="s">
        <v>179</v>
      </c>
      <c r="E4" s="85" t="s">
        <v>180</v>
      </c>
      <c r="F4" s="107" t="s">
        <v>181</v>
      </c>
      <c r="G4" s="82" t="s">
        <v>108</v>
      </c>
      <c r="H4" s="83" t="s">
        <v>107</v>
      </c>
      <c r="I4" s="83" t="s">
        <v>106</v>
      </c>
      <c r="J4" s="84" t="s">
        <v>105</v>
      </c>
      <c r="K4" s="82" t="s">
        <v>1</v>
      </c>
      <c r="L4" s="83" t="s">
        <v>2</v>
      </c>
      <c r="M4" s="83" t="s">
        <v>3</v>
      </c>
      <c r="N4" s="84" t="s">
        <v>96</v>
      </c>
      <c r="O4" s="82" t="s">
        <v>97</v>
      </c>
      <c r="P4" s="85" t="s">
        <v>131</v>
      </c>
      <c r="Q4" s="85" t="s">
        <v>174</v>
      </c>
      <c r="R4" s="84" t="s">
        <v>238</v>
      </c>
      <c r="S4" s="83" t="s">
        <v>251</v>
      </c>
      <c r="T4" s="83" t="s">
        <v>271</v>
      </c>
      <c r="U4" s="83" t="s">
        <v>278</v>
      </c>
      <c r="V4" s="83" t="s">
        <v>281</v>
      </c>
      <c r="W4" s="1078" t="s">
        <v>285</v>
      </c>
      <c r="X4" s="428" t="s">
        <v>4</v>
      </c>
      <c r="Y4" s="429" t="s">
        <v>5</v>
      </c>
      <c r="Z4" s="210"/>
      <c r="AA4" s="82" t="s">
        <v>6</v>
      </c>
      <c r="AB4" s="83" t="s">
        <v>7</v>
      </c>
      <c r="AC4" s="82" t="s">
        <v>8</v>
      </c>
      <c r="AD4" s="83" t="s">
        <v>9</v>
      </c>
      <c r="AE4" s="83" t="s">
        <v>10</v>
      </c>
      <c r="AF4" s="85" t="s">
        <v>98</v>
      </c>
      <c r="AG4" s="83" t="s">
        <v>239</v>
      </c>
      <c r="AH4" s="83" t="s">
        <v>282</v>
      </c>
      <c r="AI4" s="595" t="s">
        <v>4</v>
      </c>
      <c r="AJ4" s="596" t="s">
        <v>254</v>
      </c>
    </row>
    <row r="5" spans="1:36" s="12" customFormat="1" ht="15" customHeight="1" x14ac:dyDescent="0.25">
      <c r="B5" s="40" t="s">
        <v>11</v>
      </c>
      <c r="C5" s="25">
        <f t="shared" ref="C5:V5" si="0">C6+C9</f>
        <v>2719.8859275401255</v>
      </c>
      <c r="D5" s="26">
        <f t="shared" si="0"/>
        <v>3254.6161976867047</v>
      </c>
      <c r="E5" s="26">
        <f t="shared" si="0"/>
        <v>3428.6162577124537</v>
      </c>
      <c r="F5" s="27">
        <f t="shared" si="0"/>
        <v>3652.4438679202863</v>
      </c>
      <c r="G5" s="25">
        <f t="shared" si="0"/>
        <v>3528.8322528399449</v>
      </c>
      <c r="H5" s="26">
        <f t="shared" si="0"/>
        <v>3950.8387482821618</v>
      </c>
      <c r="I5" s="26">
        <f t="shared" si="0"/>
        <v>4119.6302577471597</v>
      </c>
      <c r="J5" s="27">
        <f t="shared" si="0"/>
        <v>4502.1551663375267</v>
      </c>
      <c r="K5" s="21">
        <f t="shared" si="0"/>
        <v>4668.5489148759252</v>
      </c>
      <c r="L5" s="13">
        <f t="shared" si="0"/>
        <v>4974.4287652479507</v>
      </c>
      <c r="M5" s="13">
        <f t="shared" si="0"/>
        <v>5091.9647483234176</v>
      </c>
      <c r="N5" s="22">
        <f t="shared" si="0"/>
        <v>5468.0224039821542</v>
      </c>
      <c r="O5" s="36">
        <f t="shared" si="0"/>
        <v>5425.5502270235929</v>
      </c>
      <c r="P5" s="13">
        <f t="shared" si="0"/>
        <v>5804.5464180861072</v>
      </c>
      <c r="Q5" s="13">
        <f t="shared" si="0"/>
        <v>5979.1738075668063</v>
      </c>
      <c r="R5" s="22">
        <f t="shared" si="0"/>
        <v>6374.8806639073428</v>
      </c>
      <c r="S5" s="13">
        <f t="shared" si="0"/>
        <v>6279.3487469917554</v>
      </c>
      <c r="T5" s="13">
        <f t="shared" si="0"/>
        <v>6674.5139212239374</v>
      </c>
      <c r="U5" s="13">
        <f t="shared" si="0"/>
        <v>6746.1622091588242</v>
      </c>
      <c r="V5" s="13">
        <f t="shared" si="0"/>
        <v>7148.3232307517892</v>
      </c>
      <c r="W5" s="1079">
        <f>W6+W9</f>
        <v>7090.958130963455</v>
      </c>
      <c r="X5" s="430">
        <f>+W5/S5-1</f>
        <v>0.1292505666866357</v>
      </c>
      <c r="Y5" s="431">
        <f>+W5/V5-1</f>
        <v>-8.0249728414003574E-3</v>
      </c>
      <c r="Z5" s="425"/>
      <c r="AA5" s="21">
        <v>7109.7259539049128</v>
      </c>
      <c r="AB5" s="13">
        <v>9030.9409965760115</v>
      </c>
      <c r="AC5" s="21">
        <f t="shared" ref="AC5:AH5" si="1">AC6+AC9</f>
        <v>11053.350142282954</v>
      </c>
      <c r="AD5" s="13">
        <f t="shared" si="1"/>
        <v>13055.579752981072</v>
      </c>
      <c r="AE5" s="13">
        <f t="shared" si="1"/>
        <v>16101.456325206793</v>
      </c>
      <c r="AF5" s="13">
        <f t="shared" si="1"/>
        <v>20202.864832429448</v>
      </c>
      <c r="AG5" s="13">
        <f t="shared" si="1"/>
        <v>23584.150916583847</v>
      </c>
      <c r="AH5" s="13">
        <f t="shared" si="1"/>
        <v>26848.348208126306</v>
      </c>
      <c r="AI5" s="597">
        <f>+AH5/AG5-1</f>
        <v>0.13840639432336532</v>
      </c>
      <c r="AJ5" s="597">
        <f>+POWER(AH5/AC5,0.2)-1</f>
        <v>0.19422106870345779</v>
      </c>
    </row>
    <row r="6" spans="1:36" s="3" customFormat="1" ht="15" customHeight="1" x14ac:dyDescent="0.25">
      <c r="B6" s="41" t="s">
        <v>293</v>
      </c>
      <c r="C6" s="23">
        <v>2668.0954089901252</v>
      </c>
      <c r="D6" s="14">
        <v>2826.5899786496047</v>
      </c>
      <c r="E6" s="14">
        <v>2863.739575295554</v>
      </c>
      <c r="F6" s="24">
        <v>3097.2584178745874</v>
      </c>
      <c r="G6" s="23">
        <v>3199.8036090099445</v>
      </c>
      <c r="H6" s="14">
        <v>3357.9303903460018</v>
      </c>
      <c r="I6" s="14">
        <v>3635.4476321874135</v>
      </c>
      <c r="J6" s="24">
        <v>3887.2276406804776</v>
      </c>
      <c r="K6" s="23">
        <v>4129.4079231645292</v>
      </c>
      <c r="L6" s="14">
        <v>4222.3602273409761</v>
      </c>
      <c r="M6" s="14">
        <v>4351.6239282588003</v>
      </c>
      <c r="N6" s="24">
        <v>4598.2140127271587</v>
      </c>
      <c r="O6" s="23">
        <v>4833.4675447978534</v>
      </c>
      <c r="P6" s="14">
        <v>4969.7377227192246</v>
      </c>
      <c r="Q6" s="14">
        <v>5188.0397438895143</v>
      </c>
      <c r="R6" s="24">
        <v>5419.0923967624876</v>
      </c>
      <c r="S6" s="14">
        <v>5598.4111371005365</v>
      </c>
      <c r="T6" s="14">
        <v>5772.8814555083318</v>
      </c>
      <c r="U6" s="14">
        <v>5917.4280401082497</v>
      </c>
      <c r="V6" s="14">
        <v>6120.6381565639822</v>
      </c>
      <c r="W6" s="1080">
        <v>6335.1363365264342</v>
      </c>
      <c r="X6" s="432">
        <f t="shared" ref="X6:X9" si="2">+W6/S6-1</f>
        <v>0.13159540830140859</v>
      </c>
      <c r="Y6" s="433">
        <f t="shared" ref="Y6:Y9" si="3">+W6/V6-1</f>
        <v>3.5045067928483276E-2</v>
      </c>
      <c r="Z6" s="425"/>
      <c r="AA6" s="52">
        <v>5935.4817988000095</v>
      </c>
      <c r="AB6" s="4">
        <v>7864.2508810970739</v>
      </c>
      <c r="AC6" s="52">
        <v>9670.0052128186544</v>
      </c>
      <c r="AD6" s="4">
        <v>11450.229562958071</v>
      </c>
      <c r="AE6" s="4">
        <v>14080.409172223837</v>
      </c>
      <c r="AF6" s="4">
        <v>17301.606091491467</v>
      </c>
      <c r="AG6" s="4">
        <v>20410.337408169078</v>
      </c>
      <c r="AH6" s="4">
        <v>23409.358789281101</v>
      </c>
      <c r="AI6" s="598">
        <f>+AH6/AG6-1</f>
        <v>0.14693639409957471</v>
      </c>
      <c r="AJ6" s="598">
        <f>+POWER(AH6/AC6,0.2)-1</f>
        <v>0.19341793970553733</v>
      </c>
    </row>
    <row r="7" spans="1:36" ht="15" customHeight="1" x14ac:dyDescent="0.25">
      <c r="B7" s="41" t="s">
        <v>296</v>
      </c>
      <c r="C7" s="23">
        <v>1147.7</v>
      </c>
      <c r="D7" s="14">
        <v>1175.9000000000001</v>
      </c>
      <c r="E7" s="14">
        <v>1266.8341754169301</v>
      </c>
      <c r="F7" s="24">
        <v>1241.7521630543999</v>
      </c>
      <c r="G7" s="23">
        <v>1369.9466002141849</v>
      </c>
      <c r="H7" s="14">
        <v>1433.0431709627874</v>
      </c>
      <c r="I7" s="14">
        <v>1514.7933433052322</v>
      </c>
      <c r="J7" s="24">
        <v>1663.8773773230869</v>
      </c>
      <c r="K7" s="23">
        <v>1887.9896635716998</v>
      </c>
      <c r="L7" s="296">
        <v>2060</v>
      </c>
      <c r="M7" s="14">
        <v>2182.8007831421355</v>
      </c>
      <c r="N7" s="24">
        <v>2227.9477368892176</v>
      </c>
      <c r="O7" s="23">
        <v>2361.9776807489989</v>
      </c>
      <c r="P7" s="14">
        <v>2510.312289077372</v>
      </c>
      <c r="Q7" s="14">
        <v>2612.4243797634008</v>
      </c>
      <c r="R7" s="24">
        <v>2673.2140319073701</v>
      </c>
      <c r="S7" s="14">
        <v>2735.9849491441391</v>
      </c>
      <c r="T7" s="14">
        <v>2784.670043785482</v>
      </c>
      <c r="U7" s="14">
        <v>2767.6771692361272</v>
      </c>
      <c r="V7" s="14">
        <v>2762.9723304938593</v>
      </c>
      <c r="W7" s="1080">
        <v>2952.0683058269137</v>
      </c>
      <c r="X7" s="432">
        <f t="shared" si="2"/>
        <v>7.8978269507794296E-2</v>
      </c>
      <c r="Y7" s="433">
        <f t="shared" si="3"/>
        <v>6.8439330081620842E-2</v>
      </c>
      <c r="Z7" s="425"/>
      <c r="AA7" s="53">
        <v>2602.8908543716343</v>
      </c>
      <c r="AB7" s="5">
        <v>3609.7244804069151</v>
      </c>
      <c r="AC7" s="53">
        <v>4644.2736902055058</v>
      </c>
      <c r="AD7" s="5">
        <v>4832.1566413708078</v>
      </c>
      <c r="AE7" s="5">
        <v>5981.6604918052908</v>
      </c>
      <c r="AF7" s="5">
        <v>8358.7999999999993</v>
      </c>
      <c r="AG7" s="5">
        <v>10157.92838149714</v>
      </c>
      <c r="AH7" s="5">
        <v>11051.304492659607</v>
      </c>
      <c r="AI7" s="598">
        <f>+AH7/AG7-1</f>
        <v>8.7948652285220641E-2</v>
      </c>
      <c r="AJ7" s="598">
        <f>+POWER(AH7/AC7,0.2)-1</f>
        <v>0.18932116607080629</v>
      </c>
    </row>
    <row r="8" spans="1:36" s="12" customFormat="1" ht="15" customHeight="1" x14ac:dyDescent="0.25">
      <c r="B8" s="45" t="s">
        <v>289</v>
      </c>
      <c r="C8" s="49">
        <f t="shared" ref="C8:V8" si="4">C6-C7</f>
        <v>1520.3954089901251</v>
      </c>
      <c r="D8" s="50">
        <f t="shared" si="4"/>
        <v>1650.6899786496047</v>
      </c>
      <c r="E8" s="50">
        <f t="shared" si="4"/>
        <v>1596.9053998786239</v>
      </c>
      <c r="F8" s="51">
        <f t="shared" si="4"/>
        <v>1855.5062548201875</v>
      </c>
      <c r="G8" s="49">
        <f t="shared" si="4"/>
        <v>1829.8570087957596</v>
      </c>
      <c r="H8" s="50">
        <f t="shared" si="4"/>
        <v>1924.8872193832144</v>
      </c>
      <c r="I8" s="50">
        <f t="shared" si="4"/>
        <v>2120.6542888821814</v>
      </c>
      <c r="J8" s="51">
        <f t="shared" si="4"/>
        <v>2223.3502633573908</v>
      </c>
      <c r="K8" s="49">
        <f t="shared" si="4"/>
        <v>2241.4182595928296</v>
      </c>
      <c r="L8" s="50">
        <f t="shared" si="4"/>
        <v>2162.3602273409761</v>
      </c>
      <c r="M8" s="50">
        <f t="shared" si="4"/>
        <v>2168.8231451166648</v>
      </c>
      <c r="N8" s="51">
        <f t="shared" si="4"/>
        <v>2370.2662758379411</v>
      </c>
      <c r="O8" s="49">
        <f t="shared" si="4"/>
        <v>2471.4898640488545</v>
      </c>
      <c r="P8" s="50">
        <f t="shared" si="4"/>
        <v>2459.4254336418526</v>
      </c>
      <c r="Q8" s="50">
        <f t="shared" si="4"/>
        <v>2575.6153641261135</v>
      </c>
      <c r="R8" s="51">
        <f t="shared" si="4"/>
        <v>2745.8783648551175</v>
      </c>
      <c r="S8" s="50">
        <f t="shared" si="4"/>
        <v>2862.4261879563974</v>
      </c>
      <c r="T8" s="50">
        <f t="shared" si="4"/>
        <v>2988.2114117228498</v>
      </c>
      <c r="U8" s="50">
        <f t="shared" si="4"/>
        <v>3149.7508708721225</v>
      </c>
      <c r="V8" s="50">
        <f t="shared" si="4"/>
        <v>3357.6658260701229</v>
      </c>
      <c r="W8" s="1081">
        <f>W6-W7</f>
        <v>3383.0680306995205</v>
      </c>
      <c r="X8" s="434">
        <f t="shared" si="2"/>
        <v>0.18188830333292549</v>
      </c>
      <c r="Y8" s="435">
        <f t="shared" si="3"/>
        <v>7.5654356166614534E-3</v>
      </c>
      <c r="Z8" s="452"/>
      <c r="AA8" s="46">
        <v>3332.5909444283752</v>
      </c>
      <c r="AB8" s="47">
        <v>4254.5264006901589</v>
      </c>
      <c r="AC8" s="46">
        <f t="shared" ref="AC8:AH8" si="5">AC6-AC7</f>
        <v>5025.7315226131486</v>
      </c>
      <c r="AD8" s="47">
        <f t="shared" si="5"/>
        <v>6618.0729215872634</v>
      </c>
      <c r="AE8" s="47">
        <f t="shared" si="5"/>
        <v>8098.7486804185464</v>
      </c>
      <c r="AF8" s="47">
        <f t="shared" si="5"/>
        <v>8942.8060914914677</v>
      </c>
      <c r="AG8" s="47">
        <f t="shared" si="5"/>
        <v>10252.409026671938</v>
      </c>
      <c r="AH8" s="47">
        <f t="shared" si="5"/>
        <v>12358.054296621494</v>
      </c>
      <c r="AI8" s="599">
        <f>+AH8/AG8-1</f>
        <v>0.20538053685447588</v>
      </c>
      <c r="AJ8" s="599">
        <f>+POWER(AH8/AC8,0.2)-1</f>
        <v>0.1971543912120397</v>
      </c>
    </row>
    <row r="9" spans="1:36" s="3" customFormat="1" ht="15" customHeight="1" x14ac:dyDescent="0.25">
      <c r="B9" s="42" t="s">
        <v>101</v>
      </c>
      <c r="C9" s="28">
        <f>SUM(C10,C13:C14)</f>
        <v>51.790518550000257</v>
      </c>
      <c r="D9" s="29">
        <f t="shared" ref="D9:W9" si="6">SUM(D10,D13:D14)</f>
        <v>428.02621903709979</v>
      </c>
      <c r="E9" s="29">
        <f t="shared" si="6"/>
        <v>564.87668241689971</v>
      </c>
      <c r="F9" s="30">
        <f t="shared" si="6"/>
        <v>555.18545004569887</v>
      </c>
      <c r="G9" s="28">
        <f t="shared" si="6"/>
        <v>329.02864383000019</v>
      </c>
      <c r="H9" s="29">
        <f t="shared" si="6"/>
        <v>592.90835793615986</v>
      </c>
      <c r="I9" s="29">
        <f t="shared" si="6"/>
        <v>484.18262555974616</v>
      </c>
      <c r="J9" s="30">
        <f t="shared" si="6"/>
        <v>614.92752565704859</v>
      </c>
      <c r="K9" s="28">
        <f t="shared" si="6"/>
        <v>539.14099171139605</v>
      </c>
      <c r="L9" s="29">
        <f t="shared" si="6"/>
        <v>752.06853790697483</v>
      </c>
      <c r="M9" s="29">
        <f t="shared" si="6"/>
        <v>740.34082006461711</v>
      </c>
      <c r="N9" s="30">
        <f t="shared" si="6"/>
        <v>869.8083912549954</v>
      </c>
      <c r="O9" s="28">
        <f t="shared" si="6"/>
        <v>592.08268222573952</v>
      </c>
      <c r="P9" s="29">
        <f t="shared" si="6"/>
        <v>834.80869536688215</v>
      </c>
      <c r="Q9" s="29">
        <f t="shared" si="6"/>
        <v>791.13406367729181</v>
      </c>
      <c r="R9" s="30">
        <f t="shared" si="6"/>
        <v>955.78826714485501</v>
      </c>
      <c r="S9" s="29">
        <f t="shared" si="6"/>
        <v>680.93760989121915</v>
      </c>
      <c r="T9" s="29">
        <f t="shared" si="6"/>
        <v>901.63246571560603</v>
      </c>
      <c r="U9" s="29">
        <f t="shared" si="6"/>
        <v>828.73416905057479</v>
      </c>
      <c r="V9" s="29">
        <f t="shared" si="6"/>
        <v>1027.685074187807</v>
      </c>
      <c r="W9" s="1082">
        <f t="shared" si="6"/>
        <v>755.82179443702046</v>
      </c>
      <c r="X9" s="436">
        <f t="shared" si="2"/>
        <v>0.10997216699157519</v>
      </c>
      <c r="Y9" s="437">
        <f t="shared" si="3"/>
        <v>-0.26453948449688602</v>
      </c>
      <c r="Z9" s="425"/>
      <c r="AA9" s="52">
        <v>1174.2441551049039</v>
      </c>
      <c r="AB9" s="4">
        <v>1166.6901154789384</v>
      </c>
      <c r="AC9" s="52">
        <f t="shared" ref="AC9" si="7">SUM(AC10,AC13:AC14)</f>
        <v>1383.3449294642996</v>
      </c>
      <c r="AD9" s="4">
        <f t="shared" ref="AD9" si="8">SUM(AD10,AD13:AD14)</f>
        <v>1605.3501900229999</v>
      </c>
      <c r="AE9" s="4">
        <f t="shared" ref="AE9" si="9">SUM(AE10,AE13:AE14)</f>
        <v>2021.0471529829547</v>
      </c>
      <c r="AF9" s="4">
        <f t="shared" ref="AF9" si="10">SUM(AF10,AF13:AF14)</f>
        <v>2901.258740937983</v>
      </c>
      <c r="AG9" s="4">
        <f t="shared" ref="AG9" si="11">SUM(AG10,AG13:AG14)</f>
        <v>3173.8135084147684</v>
      </c>
      <c r="AH9" s="4">
        <f t="shared" ref="AH9" si="12">SUM(AH10,AH13:AH14)</f>
        <v>3438.9894188452058</v>
      </c>
      <c r="AI9" s="598">
        <f>+AH9/AG9-1</f>
        <v>8.3551194714929888E-2</v>
      </c>
      <c r="AJ9" s="598">
        <f>+POWER(AH9/AC9,0.2)-1</f>
        <v>0.19977572713131764</v>
      </c>
    </row>
    <row r="10" spans="1:36" s="3" customFormat="1" ht="15" customHeight="1" x14ac:dyDescent="0.25">
      <c r="B10" s="43" t="s">
        <v>176</v>
      </c>
      <c r="C10" s="31">
        <f t="shared" ref="C10" si="13">C12+C11</f>
        <v>-179.78971644999973</v>
      </c>
      <c r="D10" s="32">
        <f t="shared" ref="D10" si="14">D12+D11</f>
        <v>147.07311035999982</v>
      </c>
      <c r="E10" s="32">
        <f t="shared" ref="E10:F10" si="15">E12+E11</f>
        <v>243.44073808999968</v>
      </c>
      <c r="F10" s="33">
        <f t="shared" si="15"/>
        <v>226.37654800000013</v>
      </c>
      <c r="G10" s="31">
        <f t="shared" ref="G10" si="16">G12+G11</f>
        <v>-30.962466999999748</v>
      </c>
      <c r="H10" s="32">
        <f t="shared" ref="H10" si="17">H12+H11</f>
        <v>224.95581999999979</v>
      </c>
      <c r="I10" s="32">
        <f t="shared" ref="I10" si="18">I12+I11</f>
        <v>72.726313999999945</v>
      </c>
      <c r="J10" s="33">
        <f t="shared" ref="J10" si="19">J12+J11</f>
        <v>141.53942599999988</v>
      </c>
      <c r="K10" s="31">
        <f t="shared" ref="K10:L10" si="20">K12+K11</f>
        <v>31.291932999999972</v>
      </c>
      <c r="L10" s="32">
        <f t="shared" si="20"/>
        <v>131.93739749999997</v>
      </c>
      <c r="M10" s="32">
        <f t="shared" ref="M10" si="21">M12+M11</f>
        <v>97.041349500001047</v>
      </c>
      <c r="N10" s="33">
        <f t="shared" ref="N10" si="22">N12+N11</f>
        <v>166.28066400000023</v>
      </c>
      <c r="O10" s="31">
        <f t="shared" ref="O10" si="23">O12+O11</f>
        <v>-56.239305000001082</v>
      </c>
      <c r="P10" s="32">
        <f t="shared" ref="P10" si="24">P12+P11</f>
        <v>181.78313300000099</v>
      </c>
      <c r="Q10" s="32">
        <f t="shared" ref="Q10" si="25">Q12+Q11</f>
        <v>111.58521347927274</v>
      </c>
      <c r="R10" s="33">
        <f t="shared" ref="R10" si="26">R12+R11</f>
        <v>226.73580335319707</v>
      </c>
      <c r="S10" s="32">
        <f t="shared" ref="S10:W10" si="27">S12+S11</f>
        <v>43.065334710699801</v>
      </c>
      <c r="T10" s="32">
        <f t="shared" si="27"/>
        <v>255.20286201987773</v>
      </c>
      <c r="U10" s="32">
        <f t="shared" si="27"/>
        <v>204.4161657601237</v>
      </c>
      <c r="V10" s="32">
        <f t="shared" si="27"/>
        <v>357.90926643980731</v>
      </c>
      <c r="W10" s="1083">
        <f t="shared" si="27"/>
        <v>126.14187252702089</v>
      </c>
      <c r="X10" s="436"/>
      <c r="Y10" s="437"/>
      <c r="Z10" s="425"/>
      <c r="AA10" s="34">
        <v>782.80130597924301</v>
      </c>
      <c r="AB10" s="7">
        <v>765.88752599999998</v>
      </c>
      <c r="AC10" s="34">
        <f t="shared" ref="AC10" si="28">AC12+AC11</f>
        <v>187.48959499999989</v>
      </c>
      <c r="AD10" s="7">
        <f t="shared" ref="AD10" si="29">AD12+AD11</f>
        <v>437.1006799999999</v>
      </c>
      <c r="AE10" s="7">
        <f t="shared" ref="AE10:AF10" si="30">AE12+AE11</f>
        <v>408.25909299999989</v>
      </c>
      <c r="AF10" s="7">
        <f t="shared" si="30"/>
        <v>426.55134400000111</v>
      </c>
      <c r="AG10" s="7">
        <f>AG12+AG11</f>
        <v>463.86464483246982</v>
      </c>
      <c r="AH10" s="7">
        <f>AH12+AH11</f>
        <v>860.59372893050727</v>
      </c>
      <c r="AI10" s="598"/>
      <c r="AJ10" s="598"/>
    </row>
    <row r="11" spans="1:36" s="3" customFormat="1" ht="15" hidden="1" customHeight="1" outlineLevel="1" x14ac:dyDescent="0.25">
      <c r="B11" s="1111" t="s">
        <v>291</v>
      </c>
      <c r="C11" s="31">
        <v>0</v>
      </c>
      <c r="D11" s="32">
        <v>330.92762800000003</v>
      </c>
      <c r="E11" s="32">
        <v>452.05923000000001</v>
      </c>
      <c r="F11" s="33">
        <v>457.3690840000001</v>
      </c>
      <c r="G11" s="31">
        <v>216.91677800000002</v>
      </c>
      <c r="H11" s="32">
        <v>493.80524000000003</v>
      </c>
      <c r="I11" s="32">
        <v>359.92245999999994</v>
      </c>
      <c r="J11" s="33">
        <v>447.59144500000019</v>
      </c>
      <c r="K11" s="31">
        <v>330.27367199999998</v>
      </c>
      <c r="L11" s="32">
        <v>466.41592199999997</v>
      </c>
      <c r="M11" s="32">
        <v>447.60702099999992</v>
      </c>
      <c r="N11" s="33">
        <v>551.19417290000001</v>
      </c>
      <c r="O11" s="31">
        <v>305.32902299999995</v>
      </c>
      <c r="P11" s="32">
        <v>585.42600913817</v>
      </c>
      <c r="Q11" s="32">
        <v>531.95919690000005</v>
      </c>
      <c r="R11" s="33">
        <v>651.64152209474082</v>
      </c>
      <c r="S11" s="32">
        <v>474.90860332879799</v>
      </c>
      <c r="T11" s="32">
        <v>701.11749606684805</v>
      </c>
      <c r="U11" s="32">
        <v>669.44445497419292</v>
      </c>
      <c r="V11" s="32">
        <v>827.66752508920251</v>
      </c>
      <c r="W11" s="1083">
        <v>595.19241099454189</v>
      </c>
      <c r="X11" s="436"/>
      <c r="Y11" s="437"/>
      <c r="Z11" s="425"/>
      <c r="AA11" s="34"/>
      <c r="AB11" s="7"/>
      <c r="AC11" s="34">
        <v>863.55261900000005</v>
      </c>
      <c r="AD11" s="7">
        <v>1240.3559420000001</v>
      </c>
      <c r="AE11" s="7">
        <v>1518.2359230000002</v>
      </c>
      <c r="AF11" s="7">
        <v>1795.4907878999998</v>
      </c>
      <c r="AG11" s="7">
        <v>2074.3555511329109</v>
      </c>
      <c r="AH11" s="7">
        <v>2673.1381794590402</v>
      </c>
      <c r="AI11" s="598"/>
      <c r="AJ11" s="598"/>
    </row>
    <row r="12" spans="1:36" s="3" customFormat="1" ht="15" hidden="1" customHeight="1" outlineLevel="1" x14ac:dyDescent="0.25">
      <c r="B12" s="1111" t="s">
        <v>292</v>
      </c>
      <c r="C12" s="31">
        <v>-179.78971644999973</v>
      </c>
      <c r="D12" s="32">
        <v>-183.85451764000021</v>
      </c>
      <c r="E12" s="32">
        <v>-208.61849191000033</v>
      </c>
      <c r="F12" s="33">
        <v>-230.99253599999997</v>
      </c>
      <c r="G12" s="31">
        <v>-247.87924499999977</v>
      </c>
      <c r="H12" s="32">
        <v>-268.84942000000024</v>
      </c>
      <c r="I12" s="32">
        <v>-287.196146</v>
      </c>
      <c r="J12" s="33">
        <v>-306.05201900000031</v>
      </c>
      <c r="K12" s="31">
        <v>-298.981739</v>
      </c>
      <c r="L12" s="32">
        <v>-334.47852449999999</v>
      </c>
      <c r="M12" s="32">
        <v>-350.56567149999887</v>
      </c>
      <c r="N12" s="33">
        <v>-384.91350889999978</v>
      </c>
      <c r="O12" s="31">
        <v>-361.56832800000103</v>
      </c>
      <c r="P12" s="32">
        <v>-403.64287613816902</v>
      </c>
      <c r="Q12" s="32">
        <v>-420.37398342072731</v>
      </c>
      <c r="R12" s="33">
        <v>-424.90571874154375</v>
      </c>
      <c r="S12" s="32">
        <v>-431.84326861809819</v>
      </c>
      <c r="T12" s="32">
        <v>-445.91463404697032</v>
      </c>
      <c r="U12" s="32">
        <v>-465.02828921406922</v>
      </c>
      <c r="V12" s="32">
        <v>-469.7582586493952</v>
      </c>
      <c r="W12" s="1083">
        <v>-469.05053846752099</v>
      </c>
      <c r="X12" s="436"/>
      <c r="Y12" s="437"/>
      <c r="Z12" s="425"/>
      <c r="AA12" s="34"/>
      <c r="AB12" s="7"/>
      <c r="AC12" s="34">
        <v>-676.06302400000015</v>
      </c>
      <c r="AD12" s="7">
        <v>-803.25526200000024</v>
      </c>
      <c r="AE12" s="7">
        <v>-1109.9768300000003</v>
      </c>
      <c r="AF12" s="7">
        <v>-1368.9394438999987</v>
      </c>
      <c r="AG12" s="7">
        <v>-1610.4909063004411</v>
      </c>
      <c r="AH12" s="7">
        <v>-1812.5444505285329</v>
      </c>
      <c r="AI12" s="598"/>
      <c r="AJ12" s="598"/>
    </row>
    <row r="13" spans="1:36" s="3" customFormat="1" ht="15" customHeight="1" collapsed="1" x14ac:dyDescent="0.25">
      <c r="B13" s="43" t="s">
        <v>290</v>
      </c>
      <c r="C13" s="31">
        <v>89.5</v>
      </c>
      <c r="D13" s="32">
        <v>126.3892617771</v>
      </c>
      <c r="E13" s="32">
        <v>127.81803836689996</v>
      </c>
      <c r="F13" s="33">
        <v>145.09053912749988</v>
      </c>
      <c r="G13" s="31">
        <v>143.88077588999991</v>
      </c>
      <c r="H13" s="32">
        <v>143.0219840099999</v>
      </c>
      <c r="I13" s="32">
        <v>155.98729158000015</v>
      </c>
      <c r="J13" s="33">
        <v>162.31325980370008</v>
      </c>
      <c r="K13" s="31">
        <v>174.84827312979996</v>
      </c>
      <c r="L13" s="32">
        <v>209.28208825219974</v>
      </c>
      <c r="M13" s="32">
        <v>218.28988533000029</v>
      </c>
      <c r="N13" s="33">
        <v>292.73033520999996</v>
      </c>
      <c r="O13" s="31">
        <v>261.30235001999949</v>
      </c>
      <c r="P13" s="32">
        <v>255.40200910000061</v>
      </c>
      <c r="Q13" s="32">
        <v>273.57956556900001</v>
      </c>
      <c r="R13" s="33">
        <v>322.52195042999858</v>
      </c>
      <c r="S13" s="32">
        <v>236.20929605999947</v>
      </c>
      <c r="T13" s="32">
        <v>279.90331603999965</v>
      </c>
      <c r="U13" s="32">
        <v>289.72644423999986</v>
      </c>
      <c r="V13" s="32">
        <v>337.6237532979996</v>
      </c>
      <c r="W13" s="1083">
        <v>259.41627188999956</v>
      </c>
      <c r="X13" s="436"/>
      <c r="Y13" s="437"/>
      <c r="Z13" s="425"/>
      <c r="AA13" s="34">
        <v>270.30036245970001</v>
      </c>
      <c r="AB13" s="7">
        <v>340.7592424272998</v>
      </c>
      <c r="AC13" s="34">
        <v>387.14194227429977</v>
      </c>
      <c r="AD13" s="7">
        <v>474.30999872299981</v>
      </c>
      <c r="AE13" s="7">
        <v>605.20331128370003</v>
      </c>
      <c r="AF13" s="7">
        <v>895.15058192200001</v>
      </c>
      <c r="AG13" s="7">
        <v>1114.4729123689985</v>
      </c>
      <c r="AH13" s="7">
        <v>1143.4628096379986</v>
      </c>
      <c r="AI13" s="598"/>
      <c r="AJ13" s="598"/>
    </row>
    <row r="14" spans="1:36" s="3" customFormat="1" ht="15" customHeight="1" x14ac:dyDescent="0.25">
      <c r="B14" s="43" t="s">
        <v>294</v>
      </c>
      <c r="C14" s="28">
        <v>142.08023499999999</v>
      </c>
      <c r="D14" s="29">
        <v>154.56384689999999</v>
      </c>
      <c r="E14" s="29">
        <v>193.61790596000003</v>
      </c>
      <c r="F14" s="30">
        <v>183.71836291819892</v>
      </c>
      <c r="G14" s="28">
        <v>216.11033494</v>
      </c>
      <c r="H14" s="29">
        <v>224.93055392616023</v>
      </c>
      <c r="I14" s="29">
        <v>255.46901997974604</v>
      </c>
      <c r="J14" s="30">
        <v>311.07483985334864</v>
      </c>
      <c r="K14" s="28">
        <v>333.00078558159618</v>
      </c>
      <c r="L14" s="29">
        <v>410.84905215477511</v>
      </c>
      <c r="M14" s="29">
        <v>425.00958523461577</v>
      </c>
      <c r="N14" s="30">
        <v>410.79739204499521</v>
      </c>
      <c r="O14" s="28">
        <v>387.01963720574111</v>
      </c>
      <c r="P14" s="29">
        <v>397.62355326688055</v>
      </c>
      <c r="Q14" s="29">
        <v>405.96928462901906</v>
      </c>
      <c r="R14" s="30">
        <v>406.53051336165936</v>
      </c>
      <c r="S14" s="29">
        <v>401.66297912051994</v>
      </c>
      <c r="T14" s="29">
        <v>366.52628765572859</v>
      </c>
      <c r="U14" s="29">
        <v>334.59155905045122</v>
      </c>
      <c r="V14" s="29">
        <v>332.15205445000015</v>
      </c>
      <c r="W14" s="1082">
        <v>370.26365002</v>
      </c>
      <c r="X14" s="436"/>
      <c r="Y14" s="437"/>
      <c r="Z14" s="425"/>
      <c r="AA14" s="52"/>
      <c r="AB14" s="4"/>
      <c r="AC14" s="52">
        <v>808.71339218999992</v>
      </c>
      <c r="AD14" s="4">
        <v>693.93951130000005</v>
      </c>
      <c r="AE14" s="4">
        <v>1007.5847486992549</v>
      </c>
      <c r="AF14" s="4">
        <v>1579.5568150159822</v>
      </c>
      <c r="AG14" s="4">
        <v>1595.4759512133</v>
      </c>
      <c r="AH14" s="4">
        <v>1434.9328802767</v>
      </c>
      <c r="AI14" s="598"/>
      <c r="AJ14" s="598"/>
    </row>
    <row r="15" spans="1:36" s="2" customFormat="1" ht="15" customHeight="1" x14ac:dyDescent="0.25">
      <c r="B15" s="45" t="s">
        <v>287</v>
      </c>
      <c r="C15" s="49">
        <f t="shared" ref="C15:V15" si="31">C8+C9</f>
        <v>1572.1859275401255</v>
      </c>
      <c r="D15" s="50">
        <f t="shared" si="31"/>
        <v>2078.7161976867046</v>
      </c>
      <c r="E15" s="50">
        <f t="shared" si="31"/>
        <v>2161.7820822955237</v>
      </c>
      <c r="F15" s="51">
        <f t="shared" si="31"/>
        <v>2410.6917048658861</v>
      </c>
      <c r="G15" s="49">
        <f t="shared" si="31"/>
        <v>2158.8856526257596</v>
      </c>
      <c r="H15" s="50">
        <f t="shared" si="31"/>
        <v>2517.7955773193744</v>
      </c>
      <c r="I15" s="50">
        <f t="shared" si="31"/>
        <v>2604.8369144419275</v>
      </c>
      <c r="J15" s="51">
        <f t="shared" si="31"/>
        <v>2838.2777890144393</v>
      </c>
      <c r="K15" s="49">
        <f t="shared" si="31"/>
        <v>2780.5592513042257</v>
      </c>
      <c r="L15" s="50">
        <f t="shared" si="31"/>
        <v>2914.4287652479507</v>
      </c>
      <c r="M15" s="50">
        <f t="shared" si="31"/>
        <v>2909.163965181282</v>
      </c>
      <c r="N15" s="51">
        <f t="shared" si="31"/>
        <v>3240.0746670929366</v>
      </c>
      <c r="O15" s="49">
        <f t="shared" si="31"/>
        <v>3063.5725462745941</v>
      </c>
      <c r="P15" s="50">
        <f t="shared" si="31"/>
        <v>3294.2341290087347</v>
      </c>
      <c r="Q15" s="50">
        <f t="shared" si="31"/>
        <v>3366.7494278034055</v>
      </c>
      <c r="R15" s="51">
        <f t="shared" si="31"/>
        <v>3701.6666319999727</v>
      </c>
      <c r="S15" s="50">
        <f t="shared" si="31"/>
        <v>3543.3637978476163</v>
      </c>
      <c r="T15" s="50">
        <f t="shared" si="31"/>
        <v>3889.8438774384558</v>
      </c>
      <c r="U15" s="50">
        <f t="shared" si="31"/>
        <v>3978.4850399226971</v>
      </c>
      <c r="V15" s="50">
        <f t="shared" si="31"/>
        <v>4385.3509002579303</v>
      </c>
      <c r="W15" s="1081">
        <f>W8+W9</f>
        <v>4138.8898251365408</v>
      </c>
      <c r="X15" s="434">
        <f t="shared" ref="X15:X17" si="32">+W15/S15-1</f>
        <v>0.16806798885586383</v>
      </c>
      <c r="Y15" s="435">
        <f t="shared" ref="Y15:Y17" si="33">+W15/V15-1</f>
        <v>-5.620099297114256E-2</v>
      </c>
      <c r="Z15" s="452"/>
      <c r="AA15" s="46">
        <v>4506.8350995332794</v>
      </c>
      <c r="AB15" s="47">
        <v>5421.2165161690973</v>
      </c>
      <c r="AC15" s="46">
        <f t="shared" ref="AC15:AH15" si="34">AC8+AC9</f>
        <v>6409.0764520774483</v>
      </c>
      <c r="AD15" s="47">
        <f t="shared" si="34"/>
        <v>8223.4231116102637</v>
      </c>
      <c r="AE15" s="47">
        <f t="shared" si="34"/>
        <v>10119.795833401502</v>
      </c>
      <c r="AF15" s="47">
        <f t="shared" si="34"/>
        <v>11844.064832429451</v>
      </c>
      <c r="AG15" s="47">
        <f t="shared" si="34"/>
        <v>13426.222535086707</v>
      </c>
      <c r="AH15" s="47">
        <f t="shared" si="34"/>
        <v>15797.0437154667</v>
      </c>
      <c r="AI15" s="599">
        <f t="shared" ref="AI15:AI21" si="35">+AH15/AG15-1</f>
        <v>0.17658140062734207</v>
      </c>
      <c r="AJ15" s="599">
        <f t="shared" ref="AJ15:AJ21" si="36">+POWER(AH15/AC15,0.2)-1</f>
        <v>0.19772212884747931</v>
      </c>
    </row>
    <row r="16" spans="1:36" ht="15" customHeight="1" x14ac:dyDescent="0.25">
      <c r="B16" s="1110" t="s">
        <v>92</v>
      </c>
      <c r="C16" s="23">
        <v>455.00398869614799</v>
      </c>
      <c r="D16" s="14">
        <v>576.72283479151997</v>
      </c>
      <c r="E16" s="14">
        <v>600.91402759616426</v>
      </c>
      <c r="F16" s="24">
        <v>689.71249756559268</v>
      </c>
      <c r="G16" s="23">
        <v>675.61210949897952</v>
      </c>
      <c r="H16" s="14">
        <v>772.22694014014087</v>
      </c>
      <c r="I16" s="14">
        <v>802.67667791446911</v>
      </c>
      <c r="J16" s="24">
        <v>755.38760294189956</v>
      </c>
      <c r="K16" s="23">
        <v>949.05951222642727</v>
      </c>
      <c r="L16" s="14">
        <v>820.24618014240764</v>
      </c>
      <c r="M16" s="14">
        <v>831.19826197528096</v>
      </c>
      <c r="N16" s="24">
        <v>958.59912628638449</v>
      </c>
      <c r="O16" s="23">
        <v>915.51994380739484</v>
      </c>
      <c r="P16" s="14">
        <v>836.08957271570034</v>
      </c>
      <c r="Q16" s="14">
        <v>906.44678771374561</v>
      </c>
      <c r="R16" s="24">
        <v>1119.5172067924836</v>
      </c>
      <c r="S16" s="14">
        <v>1107.1241524935169</v>
      </c>
      <c r="T16" s="14">
        <v>1129.472125299184</v>
      </c>
      <c r="U16" s="14">
        <v>1142.0360493003311</v>
      </c>
      <c r="V16" s="14">
        <v>1325.0152949430753</v>
      </c>
      <c r="W16" s="1080">
        <v>1216.98821336275</v>
      </c>
      <c r="X16" s="432">
        <f t="shared" si="32"/>
        <v>9.923373148512038E-2</v>
      </c>
      <c r="Y16" s="433">
        <f t="shared" si="33"/>
        <v>-8.1528931773550806E-2</v>
      </c>
      <c r="Z16" s="425"/>
      <c r="AA16" s="54">
        <v>1172.3544552349799</v>
      </c>
      <c r="AB16" s="8">
        <v>1470.7447910272813</v>
      </c>
      <c r="AC16" s="54">
        <v>1721.3605523474687</v>
      </c>
      <c r="AD16" s="8">
        <v>2322.3533486494248</v>
      </c>
      <c r="AE16" s="8">
        <v>3005.9033304954892</v>
      </c>
      <c r="AF16" s="8">
        <v>3559.1030806305002</v>
      </c>
      <c r="AG16" s="8">
        <v>3777.5735110293244</v>
      </c>
      <c r="AH16" s="8">
        <v>4703.6476220361074</v>
      </c>
      <c r="AI16" s="600">
        <f t="shared" si="35"/>
        <v>0.24515052011640237</v>
      </c>
      <c r="AJ16" s="600">
        <f t="shared" si="36"/>
        <v>0.22267937560368445</v>
      </c>
    </row>
    <row r="17" spans="2:37" ht="15" customHeight="1" x14ac:dyDescent="0.25">
      <c r="B17" s="1110" t="s">
        <v>93</v>
      </c>
      <c r="C17" s="23">
        <v>197.91683587033518</v>
      </c>
      <c r="D17" s="14">
        <v>271.23024806853698</v>
      </c>
      <c r="E17" s="14">
        <v>292.80211294519438</v>
      </c>
      <c r="F17" s="24">
        <v>364.45749847727609</v>
      </c>
      <c r="G17" s="23">
        <v>327.39613711659979</v>
      </c>
      <c r="H17" s="14">
        <v>351.48983162510501</v>
      </c>
      <c r="I17" s="14">
        <v>387.3589430420011</v>
      </c>
      <c r="J17" s="24">
        <v>433.46481299830998</v>
      </c>
      <c r="K17" s="23">
        <v>367.9620796560144</v>
      </c>
      <c r="L17" s="296">
        <v>463</v>
      </c>
      <c r="M17" s="14">
        <v>500.92945067506366</v>
      </c>
      <c r="N17" s="24">
        <v>463.3793287149544</v>
      </c>
      <c r="O17" s="23">
        <v>452.73903504475095</v>
      </c>
      <c r="P17" s="14">
        <v>509.65460120002217</v>
      </c>
      <c r="Q17" s="14">
        <v>515.6095524748049</v>
      </c>
      <c r="R17" s="24">
        <v>573.51083167617981</v>
      </c>
      <c r="S17" s="14">
        <v>532.35512870294474</v>
      </c>
      <c r="T17" s="14">
        <v>568.48971890476093</v>
      </c>
      <c r="U17" s="14">
        <v>564.72041585687907</v>
      </c>
      <c r="V17" s="14">
        <v>686.17754190555218</v>
      </c>
      <c r="W17" s="1080">
        <v>592.8799289668649</v>
      </c>
      <c r="X17" s="432">
        <f t="shared" si="32"/>
        <v>0.11369252778945826</v>
      </c>
      <c r="Y17" s="433">
        <f t="shared" si="33"/>
        <v>-0.13596716190913904</v>
      </c>
      <c r="Z17" s="425"/>
      <c r="AA17" s="53">
        <v>668.58044944670246</v>
      </c>
      <c r="AB17" s="5">
        <v>776.63094568014219</v>
      </c>
      <c r="AC17" s="53">
        <v>783.03706791850902</v>
      </c>
      <c r="AD17" s="5">
        <v>1126.4460759312924</v>
      </c>
      <c r="AE17" s="5">
        <v>1499.7097247820159</v>
      </c>
      <c r="AF17" s="5">
        <v>1795.4</v>
      </c>
      <c r="AG17" s="5">
        <v>2051.5146203957579</v>
      </c>
      <c r="AH17" s="5">
        <v>2351.7428053701369</v>
      </c>
      <c r="AI17" s="600">
        <f t="shared" si="35"/>
        <v>0.14634464799303348</v>
      </c>
      <c r="AJ17" s="600">
        <f t="shared" si="36"/>
        <v>0.24600992168637759</v>
      </c>
    </row>
    <row r="18" spans="2:37" s="2" customFormat="1" ht="15" customHeight="1" x14ac:dyDescent="0.25">
      <c r="B18" s="40" t="s">
        <v>94</v>
      </c>
      <c r="C18" s="25">
        <v>652.92082456648313</v>
      </c>
      <c r="D18" s="26">
        <v>847.95308286005695</v>
      </c>
      <c r="E18" s="26">
        <v>893.71614054135864</v>
      </c>
      <c r="F18" s="27">
        <v>1054.1699960428687</v>
      </c>
      <c r="G18" s="25">
        <v>1003.0082466155793</v>
      </c>
      <c r="H18" s="26">
        <v>1123.716771765246</v>
      </c>
      <c r="I18" s="26">
        <v>1190.0356209564702</v>
      </c>
      <c r="J18" s="27">
        <v>1188.8524159402095</v>
      </c>
      <c r="K18" s="25">
        <f t="shared" ref="K18:V18" si="37">SUM(K16:K17)</f>
        <v>1317.0215918824417</v>
      </c>
      <c r="L18" s="26">
        <f t="shared" si="37"/>
        <v>1283.2461801424076</v>
      </c>
      <c r="M18" s="26">
        <f t="shared" si="37"/>
        <v>1332.1277126503446</v>
      </c>
      <c r="N18" s="27">
        <f t="shared" si="37"/>
        <v>1421.9784550013389</v>
      </c>
      <c r="O18" s="25">
        <f t="shared" si="37"/>
        <v>1368.2589788521459</v>
      </c>
      <c r="P18" s="26">
        <f t="shared" si="37"/>
        <v>1345.7441739157225</v>
      </c>
      <c r="Q18" s="26">
        <f t="shared" si="37"/>
        <v>1422.0563401885506</v>
      </c>
      <c r="R18" s="27">
        <f t="shared" si="37"/>
        <v>1693.0280384686635</v>
      </c>
      <c r="S18" s="26">
        <f t="shared" si="37"/>
        <v>1639.4792811964617</v>
      </c>
      <c r="T18" s="26">
        <f t="shared" si="37"/>
        <v>1697.961844203945</v>
      </c>
      <c r="U18" s="26">
        <f t="shared" si="37"/>
        <v>1706.7564651572102</v>
      </c>
      <c r="V18" s="26">
        <f t="shared" si="37"/>
        <v>2011.1928368486274</v>
      </c>
      <c r="W18" s="1084">
        <f>SUM(W16:W17)</f>
        <v>1809.8681423296148</v>
      </c>
      <c r="X18" s="430">
        <f t="shared" ref="X18:X21" si="38">+W18/S18-1</f>
        <v>0.10392864556898007</v>
      </c>
      <c r="Y18" s="431">
        <f t="shared" ref="Y18:Y21" si="39">+W18/V18-1</f>
        <v>-0.10010213383340794</v>
      </c>
      <c r="Z18" s="425"/>
      <c r="AA18" s="36">
        <v>1840.9349046816824</v>
      </c>
      <c r="AB18" s="9">
        <v>2247.3757367074236</v>
      </c>
      <c r="AC18" s="36">
        <f t="shared" ref="AC18:AG18" si="40">SUM(AC16:AC17)</f>
        <v>2504.3976202659778</v>
      </c>
      <c r="AD18" s="9">
        <f t="shared" si="40"/>
        <v>3448.7994245807172</v>
      </c>
      <c r="AE18" s="9">
        <f t="shared" si="40"/>
        <v>4505.6130552775048</v>
      </c>
      <c r="AF18" s="9">
        <f t="shared" si="40"/>
        <v>5354.5030806305003</v>
      </c>
      <c r="AG18" s="9">
        <f t="shared" si="40"/>
        <v>5829.0881314250819</v>
      </c>
      <c r="AH18" s="9">
        <f>SUM(AH16:AH17)</f>
        <v>7055.3904274062443</v>
      </c>
      <c r="AI18" s="601">
        <f t="shared" si="35"/>
        <v>0.21037635189800419</v>
      </c>
      <c r="AJ18" s="601">
        <f t="shared" si="36"/>
        <v>0.23016553044398202</v>
      </c>
      <c r="AK18" s="377"/>
    </row>
    <row r="19" spans="2:37" s="2" customFormat="1" ht="15" customHeight="1" x14ac:dyDescent="0.25">
      <c r="B19" s="1109" t="s">
        <v>288</v>
      </c>
      <c r="C19" s="56">
        <v>919.27917543351668</v>
      </c>
      <c r="D19" s="57">
        <v>1230.7317322870431</v>
      </c>
      <c r="E19" s="57">
        <v>1268.0659417541651</v>
      </c>
      <c r="F19" s="58">
        <v>1356.5217088230193</v>
      </c>
      <c r="G19" s="56">
        <v>1155.8774060101807</v>
      </c>
      <c r="H19" s="57">
        <v>1394.0788055541293</v>
      </c>
      <c r="I19" s="57">
        <v>1414.8012934854601</v>
      </c>
      <c r="J19" s="58">
        <v>1649.4253730742298</v>
      </c>
      <c r="K19" s="56">
        <f t="shared" ref="K19:V19" si="41">K15-K18</f>
        <v>1463.5376594217839</v>
      </c>
      <c r="L19" s="57">
        <f t="shared" si="41"/>
        <v>1631.182585105543</v>
      </c>
      <c r="M19" s="57">
        <f t="shared" si="41"/>
        <v>1577.0362525309374</v>
      </c>
      <c r="N19" s="58">
        <f t="shared" si="41"/>
        <v>1818.0962120915976</v>
      </c>
      <c r="O19" s="56">
        <f t="shared" si="41"/>
        <v>1695.3135674224482</v>
      </c>
      <c r="P19" s="13">
        <f t="shared" si="41"/>
        <v>1948.4899550930122</v>
      </c>
      <c r="Q19" s="13">
        <f t="shared" si="41"/>
        <v>1944.6930876148549</v>
      </c>
      <c r="R19" s="22">
        <f t="shared" si="41"/>
        <v>2008.6385935313092</v>
      </c>
      <c r="S19" s="13">
        <f t="shared" si="41"/>
        <v>1903.8845166511546</v>
      </c>
      <c r="T19" s="13">
        <f t="shared" si="41"/>
        <v>2191.8820332345108</v>
      </c>
      <c r="U19" s="13">
        <f t="shared" si="41"/>
        <v>2271.7285747654869</v>
      </c>
      <c r="V19" s="13">
        <f t="shared" si="41"/>
        <v>2374.1580634093029</v>
      </c>
      <c r="W19" s="1079">
        <f>W15-W18</f>
        <v>2329.021682806926</v>
      </c>
      <c r="X19" s="430">
        <f t="shared" si="38"/>
        <v>0.22329987057385603</v>
      </c>
      <c r="Y19" s="431">
        <f t="shared" si="39"/>
        <v>-1.90115314131869E-2</v>
      </c>
      <c r="Z19" s="452"/>
      <c r="AA19" s="59">
        <v>2665.900194851597</v>
      </c>
      <c r="AB19" s="60">
        <v>3173.8407794616737</v>
      </c>
      <c r="AC19" s="59">
        <f t="shared" ref="AC19:AG19" si="42">AC15-AC18</f>
        <v>3904.6788318114704</v>
      </c>
      <c r="AD19" s="60">
        <f t="shared" si="42"/>
        <v>4774.623687029547</v>
      </c>
      <c r="AE19" s="60">
        <f t="shared" si="42"/>
        <v>5614.1827781239972</v>
      </c>
      <c r="AF19" s="60">
        <f t="shared" si="42"/>
        <v>6489.5617517989504</v>
      </c>
      <c r="AG19" s="60">
        <f t="shared" si="42"/>
        <v>7597.1344036616247</v>
      </c>
      <c r="AH19" s="60">
        <f>AH15-AH18</f>
        <v>8741.6532880604555</v>
      </c>
      <c r="AI19" s="602">
        <f t="shared" si="35"/>
        <v>0.15065139348425927</v>
      </c>
      <c r="AJ19" s="602">
        <f t="shared" si="36"/>
        <v>0.17490202380940012</v>
      </c>
    </row>
    <row r="20" spans="2:37" s="3" customFormat="1" ht="15" customHeight="1" x14ac:dyDescent="0.25">
      <c r="B20" s="1110" t="s">
        <v>295</v>
      </c>
      <c r="C20" s="34">
        <v>170.06189094959799</v>
      </c>
      <c r="D20" s="7">
        <v>47.465550827337964</v>
      </c>
      <c r="E20" s="7">
        <v>112.85783371577568</v>
      </c>
      <c r="F20" s="35">
        <v>-104.33328960613167</v>
      </c>
      <c r="G20" s="34">
        <v>9.1607005812973714</v>
      </c>
      <c r="H20" s="7">
        <v>16.127444331593857</v>
      </c>
      <c r="I20" s="7">
        <v>35.114722402662842</v>
      </c>
      <c r="J20" s="35">
        <v>63.821071125780108</v>
      </c>
      <c r="K20" s="34">
        <v>56.750203726770124</v>
      </c>
      <c r="L20" s="7">
        <v>65.172940913195731</v>
      </c>
      <c r="M20" s="7">
        <v>79.659946595739598</v>
      </c>
      <c r="N20" s="35">
        <v>43.154284698907325</v>
      </c>
      <c r="O20" s="34">
        <v>85.833886292298303</v>
      </c>
      <c r="P20" s="7">
        <v>48.281229546956091</v>
      </c>
      <c r="Q20" s="7">
        <v>60.728955849387788</v>
      </c>
      <c r="R20" s="35">
        <v>76.399029651242287</v>
      </c>
      <c r="S20" s="7">
        <v>112.59859791791378</v>
      </c>
      <c r="T20" s="7">
        <v>79.600081888548061</v>
      </c>
      <c r="U20" s="7">
        <v>78.496927179357883</v>
      </c>
      <c r="V20" s="7">
        <v>66.548243242138099</v>
      </c>
      <c r="W20" s="1085">
        <v>127.98094339911354</v>
      </c>
      <c r="X20" s="438">
        <f t="shared" si="38"/>
        <v>0.13661222933178752</v>
      </c>
      <c r="Y20" s="439">
        <f t="shared" si="39"/>
        <v>0.92313030613671376</v>
      </c>
      <c r="Z20" s="425"/>
      <c r="AA20" s="55">
        <v>88.9767929961356</v>
      </c>
      <c r="AB20" s="10">
        <v>153.37760951844223</v>
      </c>
      <c r="AC20" s="55">
        <v>371.38558625620163</v>
      </c>
      <c r="AD20" s="10">
        <v>226.05198588657998</v>
      </c>
      <c r="AE20" s="10">
        <v>124.22393844133417</v>
      </c>
      <c r="AF20" s="10">
        <v>244.7</v>
      </c>
      <c r="AG20" s="10">
        <v>271.24310133988445</v>
      </c>
      <c r="AH20" s="10">
        <v>337.24385022795781</v>
      </c>
      <c r="AI20" s="598">
        <f t="shared" si="35"/>
        <v>0.24332692172462056</v>
      </c>
      <c r="AJ20" s="598">
        <f t="shared" si="36"/>
        <v>-1.9102113252642439E-2</v>
      </c>
    </row>
    <row r="21" spans="2:37" s="2" customFormat="1" ht="15" customHeight="1" x14ac:dyDescent="0.25">
      <c r="B21" s="45" t="s">
        <v>13</v>
      </c>
      <c r="C21" s="49">
        <v>749.21728448391866</v>
      </c>
      <c r="D21" s="50">
        <v>1183.2661814597052</v>
      </c>
      <c r="E21" s="50">
        <v>1155.2081080383894</v>
      </c>
      <c r="F21" s="51">
        <v>1460.854998429151</v>
      </c>
      <c r="G21" s="49">
        <v>1146.7167054288834</v>
      </c>
      <c r="H21" s="50">
        <v>1377.9513612225355</v>
      </c>
      <c r="I21" s="50">
        <v>1379.6865710827972</v>
      </c>
      <c r="J21" s="51">
        <v>1585.6043019484498</v>
      </c>
      <c r="K21" s="49">
        <f t="shared" ref="K21:V21" si="43">K19-K20</f>
        <v>1406.7874556950137</v>
      </c>
      <c r="L21" s="50">
        <f t="shared" si="43"/>
        <v>1566.0096441923472</v>
      </c>
      <c r="M21" s="50">
        <f t="shared" si="43"/>
        <v>1497.3763059351977</v>
      </c>
      <c r="N21" s="51">
        <f t="shared" si="43"/>
        <v>1774.9419273926903</v>
      </c>
      <c r="O21" s="49">
        <f t="shared" si="43"/>
        <v>1609.4796811301499</v>
      </c>
      <c r="P21" s="50">
        <f t="shared" si="43"/>
        <v>1900.208725546056</v>
      </c>
      <c r="Q21" s="50">
        <f t="shared" si="43"/>
        <v>1883.9641317654671</v>
      </c>
      <c r="R21" s="51">
        <f t="shared" si="43"/>
        <v>1932.239563880067</v>
      </c>
      <c r="S21" s="50">
        <f t="shared" si="43"/>
        <v>1791.2859187332408</v>
      </c>
      <c r="T21" s="50">
        <f t="shared" si="43"/>
        <v>2112.2819513459626</v>
      </c>
      <c r="U21" s="50">
        <f t="shared" si="43"/>
        <v>2193.2316475861289</v>
      </c>
      <c r="V21" s="50">
        <f t="shared" si="43"/>
        <v>2307.6098201671648</v>
      </c>
      <c r="W21" s="1081">
        <f>W19-W20</f>
        <v>2201.0407394078125</v>
      </c>
      <c r="X21" s="434">
        <f t="shared" si="38"/>
        <v>0.22874897658121585</v>
      </c>
      <c r="Y21" s="435">
        <f t="shared" si="39"/>
        <v>-4.6181585737762432E-2</v>
      </c>
      <c r="Z21" s="425"/>
      <c r="AA21" s="46">
        <v>2576.9234018554616</v>
      </c>
      <c r="AB21" s="47">
        <v>3020.4631699432316</v>
      </c>
      <c r="AC21" s="46">
        <f t="shared" ref="AC21:AG21" si="44">AC19-AC20</f>
        <v>3533.2932455552686</v>
      </c>
      <c r="AD21" s="47">
        <f t="shared" si="44"/>
        <v>4548.571701142967</v>
      </c>
      <c r="AE21" s="47">
        <f t="shared" si="44"/>
        <v>5489.958839682663</v>
      </c>
      <c r="AF21" s="47">
        <f t="shared" si="44"/>
        <v>6244.8617517989505</v>
      </c>
      <c r="AG21" s="47">
        <f t="shared" si="44"/>
        <v>7325.8913023217401</v>
      </c>
      <c r="AH21" s="47">
        <f>AH19-AH20</f>
        <v>8404.4094378324971</v>
      </c>
      <c r="AI21" s="599">
        <f t="shared" si="35"/>
        <v>0.14722005705557639</v>
      </c>
      <c r="AJ21" s="599">
        <f t="shared" si="36"/>
        <v>0.1892290343628551</v>
      </c>
    </row>
    <row r="22" spans="2:37" ht="15" customHeight="1" x14ac:dyDescent="0.25">
      <c r="B22" s="1110" t="s">
        <v>14</v>
      </c>
      <c r="C22" s="23">
        <v>150.292180038704</v>
      </c>
      <c r="D22" s="14">
        <v>262.03953486402099</v>
      </c>
      <c r="E22" s="14">
        <v>264.13723727963128</v>
      </c>
      <c r="F22" s="24">
        <v>304.11212538657691</v>
      </c>
      <c r="G22" s="23">
        <v>254.47383883995786</v>
      </c>
      <c r="H22" s="14">
        <v>309.72829153837114</v>
      </c>
      <c r="I22" s="14">
        <v>306.93759436260319</v>
      </c>
      <c r="J22" s="24">
        <v>318.09943714152018</v>
      </c>
      <c r="K22" s="23">
        <v>309.67940038160958</v>
      </c>
      <c r="L22" s="14">
        <v>348.17323343431866</v>
      </c>
      <c r="M22" s="14">
        <v>330.91585815823089</v>
      </c>
      <c r="N22" s="24">
        <v>348.7876748131726</v>
      </c>
      <c r="O22" s="23">
        <v>348.47147059229246</v>
      </c>
      <c r="P22" s="14">
        <v>421.15798970462356</v>
      </c>
      <c r="Q22" s="14">
        <v>419.73524094934993</v>
      </c>
      <c r="R22" s="24">
        <v>395.44642169366978</v>
      </c>
      <c r="S22" s="14">
        <v>398.95307664939719</v>
      </c>
      <c r="T22" s="14">
        <v>472.93716081893081</v>
      </c>
      <c r="U22" s="14">
        <v>492.77486833706996</v>
      </c>
      <c r="V22" s="14">
        <v>490.93098896504637</v>
      </c>
      <c r="W22" s="1080">
        <v>488.35974914783156</v>
      </c>
      <c r="X22" s="432"/>
      <c r="Y22" s="433"/>
      <c r="Z22" s="425"/>
      <c r="AA22" s="53">
        <v>817.7981115501259</v>
      </c>
      <c r="AB22" s="5">
        <v>529.26502451895078</v>
      </c>
      <c r="AC22" s="53">
        <v>638.3414344141645</v>
      </c>
      <c r="AD22" s="5">
        <v>980.58107756893378</v>
      </c>
      <c r="AE22" s="5">
        <v>1189.2391618824524</v>
      </c>
      <c r="AF22" s="5">
        <v>1337.5561667873317</v>
      </c>
      <c r="AG22" s="5">
        <v>1584.8091229399358</v>
      </c>
      <c r="AH22" s="5">
        <v>1855.5953857608306</v>
      </c>
      <c r="AI22" s="598"/>
      <c r="AJ22" s="598"/>
    </row>
    <row r="23" spans="2:37" s="2" customFormat="1" ht="15" customHeight="1" x14ac:dyDescent="0.25">
      <c r="B23" s="45" t="s">
        <v>15</v>
      </c>
      <c r="C23" s="49">
        <v>598.92510444521463</v>
      </c>
      <c r="D23" s="50">
        <v>921.2266465956842</v>
      </c>
      <c r="E23" s="50">
        <v>891.07087075875802</v>
      </c>
      <c r="F23" s="51">
        <v>1156.742873042574</v>
      </c>
      <c r="G23" s="49">
        <v>892.24286658892561</v>
      </c>
      <c r="H23" s="50">
        <v>1068.2230696841643</v>
      </c>
      <c r="I23" s="50">
        <v>1072.7489767201939</v>
      </c>
      <c r="J23" s="51">
        <v>1267.5048648069296</v>
      </c>
      <c r="K23" s="49">
        <f t="shared" ref="K23:V23" si="45">K21-K22</f>
        <v>1097.1080553134041</v>
      </c>
      <c r="L23" s="50">
        <f t="shared" si="45"/>
        <v>1217.8364107580285</v>
      </c>
      <c r="M23" s="50">
        <f t="shared" si="45"/>
        <v>1166.4604477769667</v>
      </c>
      <c r="N23" s="51">
        <f t="shared" si="45"/>
        <v>1426.1542525795178</v>
      </c>
      <c r="O23" s="49">
        <f t="shared" si="45"/>
        <v>1261.0082105378574</v>
      </c>
      <c r="P23" s="50">
        <f t="shared" si="45"/>
        <v>1479.0507358414325</v>
      </c>
      <c r="Q23" s="50">
        <f t="shared" si="45"/>
        <v>1464.2288908161172</v>
      </c>
      <c r="R23" s="51">
        <f t="shared" si="45"/>
        <v>1536.7931421863973</v>
      </c>
      <c r="S23" s="50">
        <f t="shared" si="45"/>
        <v>1392.3328420838436</v>
      </c>
      <c r="T23" s="50">
        <f t="shared" si="45"/>
        <v>1639.3447905270318</v>
      </c>
      <c r="U23" s="50">
        <f t="shared" si="45"/>
        <v>1700.4567792490589</v>
      </c>
      <c r="V23" s="50">
        <f t="shared" si="45"/>
        <v>1816.6788312021185</v>
      </c>
      <c r="W23" s="1081">
        <f>W21-W22</f>
        <v>1712.6809902599809</v>
      </c>
      <c r="X23" s="434">
        <f t="shared" ref="X23" si="46">+W23/S23-1</f>
        <v>0.23008014929582954</v>
      </c>
      <c r="Y23" s="435">
        <f>+W23/V23-1</f>
        <v>-5.7246134625414724E-2</v>
      </c>
      <c r="Z23" s="452"/>
      <c r="AA23" s="46">
        <v>1759.1252903053357</v>
      </c>
      <c r="AB23" s="47">
        <v>2491.1981454242809</v>
      </c>
      <c r="AC23" s="46">
        <f t="shared" ref="AC23:AG23" si="47">AC21-AC22</f>
        <v>2894.9518111411044</v>
      </c>
      <c r="AD23" s="47">
        <f t="shared" si="47"/>
        <v>3567.9906235740332</v>
      </c>
      <c r="AE23" s="47">
        <f t="shared" si="47"/>
        <v>4300.7196778002108</v>
      </c>
      <c r="AF23" s="47">
        <f t="shared" si="47"/>
        <v>4907.3055850116189</v>
      </c>
      <c r="AG23" s="47">
        <f t="shared" si="47"/>
        <v>5741.0821793818041</v>
      </c>
      <c r="AH23" s="47">
        <f>AH21-AH22</f>
        <v>6548.8140520716661</v>
      </c>
      <c r="AI23" s="599">
        <f>+AH23/AG23-1</f>
        <v>0.14069331311624556</v>
      </c>
      <c r="AJ23" s="599">
        <f>+POWER(AH23/AC23,0.2)-1</f>
        <v>0.17734641046970623</v>
      </c>
    </row>
    <row r="24" spans="2:37" ht="15" customHeight="1" x14ac:dyDescent="0.25">
      <c r="B24" s="41" t="s">
        <v>110</v>
      </c>
      <c r="C24" s="23">
        <v>0</v>
      </c>
      <c r="D24" s="14">
        <v>2.16264554832</v>
      </c>
      <c r="E24" s="14">
        <v>0</v>
      </c>
      <c r="F24" s="24">
        <v>4.9263492038400001</v>
      </c>
      <c r="G24" s="23">
        <v>0</v>
      </c>
      <c r="H24" s="14">
        <v>2.0937828969600001</v>
      </c>
      <c r="I24" s="14">
        <v>0</v>
      </c>
      <c r="J24" s="24">
        <v>-20.027337313550404</v>
      </c>
      <c r="K24" s="23">
        <v>0</v>
      </c>
      <c r="L24" s="14">
        <v>-1.11582144864</v>
      </c>
      <c r="M24" s="14">
        <v>0</v>
      </c>
      <c r="N24" s="24">
        <v>2.632159476</v>
      </c>
      <c r="O24" s="23">
        <v>0</v>
      </c>
      <c r="P24" s="14">
        <v>-1.1632305139199999</v>
      </c>
      <c r="Q24" s="14">
        <v>0</v>
      </c>
      <c r="R24" s="24">
        <v>3.5289297009599991</v>
      </c>
      <c r="S24" s="14">
        <v>0</v>
      </c>
      <c r="T24" s="14">
        <v>4.2371277758399994</v>
      </c>
      <c r="U24" s="14">
        <v>2.8804535486400007</v>
      </c>
      <c r="V24" s="14">
        <v>-4.1890205280000717E-2</v>
      </c>
      <c r="W24" s="1080">
        <v>0</v>
      </c>
      <c r="X24" s="432"/>
      <c r="Y24" s="433"/>
      <c r="Z24" s="425"/>
      <c r="AA24" s="53">
        <v>2.2815720979200003</v>
      </c>
      <c r="AB24" s="5">
        <v>-0.52164115056000004</v>
      </c>
      <c r="AC24" s="53">
        <v>8.3401910303999998</v>
      </c>
      <c r="AD24" s="5">
        <v>7.0889947521600005</v>
      </c>
      <c r="AE24" s="5">
        <v>-17.933554416590407</v>
      </c>
      <c r="AF24" s="5">
        <v>1.51633802736</v>
      </c>
      <c r="AG24" s="5">
        <v>2.3656991870399997</v>
      </c>
      <c r="AH24" s="5">
        <v>7.0754911191999996</v>
      </c>
      <c r="AI24" s="601"/>
      <c r="AJ24" s="601"/>
    </row>
    <row r="25" spans="2:37" s="2" customFormat="1" ht="15" customHeight="1" x14ac:dyDescent="0.25">
      <c r="B25" s="45" t="s">
        <v>111</v>
      </c>
      <c r="C25" s="46">
        <v>598.92510444521463</v>
      </c>
      <c r="D25" s="47">
        <v>923.38929214400423</v>
      </c>
      <c r="E25" s="47">
        <v>891.07087075875802</v>
      </c>
      <c r="F25" s="48">
        <v>1161.6692222464139</v>
      </c>
      <c r="G25" s="46">
        <v>892.24286658892561</v>
      </c>
      <c r="H25" s="47">
        <v>1070.3168525811243</v>
      </c>
      <c r="I25" s="47">
        <v>1072.7489767201939</v>
      </c>
      <c r="J25" s="48">
        <v>1247.4775274933793</v>
      </c>
      <c r="K25" s="46">
        <f t="shared" ref="K25:V25" si="48">K23+K24</f>
        <v>1097.1080553134041</v>
      </c>
      <c r="L25" s="47">
        <f t="shared" si="48"/>
        <v>1216.7205893093885</v>
      </c>
      <c r="M25" s="47">
        <f t="shared" si="48"/>
        <v>1166.4604477769667</v>
      </c>
      <c r="N25" s="48">
        <f t="shared" si="48"/>
        <v>1428.7864120555178</v>
      </c>
      <c r="O25" s="46">
        <f t="shared" si="48"/>
        <v>1261.0082105378574</v>
      </c>
      <c r="P25" s="47">
        <f t="shared" si="48"/>
        <v>1477.8875053275124</v>
      </c>
      <c r="Q25" s="47">
        <f t="shared" si="48"/>
        <v>1464.2288908161172</v>
      </c>
      <c r="R25" s="48">
        <f t="shared" si="48"/>
        <v>1540.3220718873572</v>
      </c>
      <c r="S25" s="47">
        <f t="shared" si="48"/>
        <v>1392.3328420838436</v>
      </c>
      <c r="T25" s="47">
        <f t="shared" si="48"/>
        <v>1643.5819183028718</v>
      </c>
      <c r="U25" s="47">
        <f t="shared" si="48"/>
        <v>1703.3372327976988</v>
      </c>
      <c r="V25" s="47">
        <f t="shared" si="48"/>
        <v>1816.6369409968386</v>
      </c>
      <c r="W25" s="1086">
        <f>W23+W24</f>
        <v>1712.6809902599809</v>
      </c>
      <c r="X25" s="434">
        <f t="shared" ref="X25:X27" si="49">+W25/S25-1</f>
        <v>0.23008014929582954</v>
      </c>
      <c r="Y25" s="435">
        <f t="shared" ref="Y25:Y27" si="50">+W25/V25-1</f>
        <v>-5.7224395469913869E-2</v>
      </c>
      <c r="Z25" s="607"/>
      <c r="AA25" s="46">
        <v>1761.4068624032557</v>
      </c>
      <c r="AB25" s="47">
        <v>2490.6765042737211</v>
      </c>
      <c r="AC25" s="46">
        <f t="shared" ref="AC25:AG25" si="51">AC23+AC24</f>
        <v>2903.2920021715045</v>
      </c>
      <c r="AD25" s="47">
        <f t="shared" si="51"/>
        <v>3575.0796183261932</v>
      </c>
      <c r="AE25" s="47">
        <f t="shared" si="51"/>
        <v>4282.7861233836202</v>
      </c>
      <c r="AF25" s="47">
        <f t="shared" si="51"/>
        <v>4908.8219230389786</v>
      </c>
      <c r="AG25" s="47">
        <f t="shared" si="51"/>
        <v>5743.4478785688443</v>
      </c>
      <c r="AH25" s="47">
        <f>AH23+AH24</f>
        <v>6555.8895431908659</v>
      </c>
      <c r="AI25" s="599">
        <f>+AH25/AG25-1</f>
        <v>0.14145539087306314</v>
      </c>
      <c r="AJ25" s="599">
        <f>+POWER(AH25/AC25,0.2)-1</f>
        <v>0.1769233573887572</v>
      </c>
    </row>
    <row r="26" spans="2:37" ht="15" customHeight="1" x14ac:dyDescent="0.25">
      <c r="B26" s="41" t="s">
        <v>141</v>
      </c>
      <c r="C26" s="23">
        <v>7.6289559443286024</v>
      </c>
      <c r="D26" s="14">
        <v>11.713656565112339</v>
      </c>
      <c r="E26" s="14">
        <v>11.290790942529416</v>
      </c>
      <c r="F26" s="24">
        <v>14.654551356604225</v>
      </c>
      <c r="G26" s="23">
        <v>11.301785736871697</v>
      </c>
      <c r="H26" s="14">
        <v>13.52498599974731</v>
      </c>
      <c r="I26" s="14">
        <v>13.573562493169959</v>
      </c>
      <c r="J26" s="24">
        <v>16.035054030009146</v>
      </c>
      <c r="K26" s="23">
        <v>13.875693660239522</v>
      </c>
      <c r="L26" s="14">
        <v>15.38751338025955</v>
      </c>
      <c r="M26" s="14">
        <v>14.740995549994414</v>
      </c>
      <c r="N26" s="24">
        <v>18.021129631013356</v>
      </c>
      <c r="O26" s="423">
        <v>15.933951365346344</v>
      </c>
      <c r="P26" s="14">
        <v>18.686163153455468</v>
      </c>
      <c r="Q26" s="14">
        <v>18.399999999999999</v>
      </c>
      <c r="R26" s="24">
        <v>19.416671958312222</v>
      </c>
      <c r="S26" s="14">
        <v>17.589926690782981</v>
      </c>
      <c r="T26" s="14">
        <v>20.709448733447395</v>
      </c>
      <c r="U26" s="14">
        <v>21.478107483530177</v>
      </c>
      <c r="V26" s="14">
        <v>22.939133450681442</v>
      </c>
      <c r="W26" s="1080">
        <v>21.601648273475618</v>
      </c>
      <c r="X26" s="432">
        <f t="shared" si="49"/>
        <v>0.22806926107285919</v>
      </c>
      <c r="Y26" s="433">
        <f t="shared" si="50"/>
        <v>-5.8305828338345189E-2</v>
      </c>
      <c r="Z26" s="425"/>
      <c r="AA26" s="23">
        <v>23.648418312359933</v>
      </c>
      <c r="AB26" s="14">
        <v>31.862524816148262</v>
      </c>
      <c r="AC26" s="23">
        <v>36.938485997425595</v>
      </c>
      <c r="AD26" s="14">
        <v>45.306780871398558</v>
      </c>
      <c r="AE26" s="14">
        <v>54.435388259798117</v>
      </c>
      <c r="AF26" s="14">
        <v>62.025332221506844</v>
      </c>
      <c r="AG26" s="14">
        <v>72.540868805254703</v>
      </c>
      <c r="AH26" s="14">
        <v>82.717938289494867</v>
      </c>
      <c r="AI26" s="603">
        <f>+AH26/AG26-1</f>
        <v>0.14029428723223347</v>
      </c>
      <c r="AJ26" s="603">
        <f>+POWER(AH26/AC26,0.2)-1</f>
        <v>0.1749628141937587</v>
      </c>
    </row>
    <row r="27" spans="2:37" ht="15" customHeight="1" x14ac:dyDescent="0.25">
      <c r="B27" s="44" t="s">
        <v>142</v>
      </c>
      <c r="C27" s="37">
        <v>7.5621298325611379</v>
      </c>
      <c r="D27" s="38">
        <v>11.624942626753892</v>
      </c>
      <c r="E27" s="38">
        <v>11.236407184668625</v>
      </c>
      <c r="F27" s="39">
        <v>14.592120125341799</v>
      </c>
      <c r="G27" s="37">
        <v>11.261770045543839</v>
      </c>
      <c r="H27" s="38">
        <v>13.486154675806615</v>
      </c>
      <c r="I27" s="38">
        <v>13.542463507533428</v>
      </c>
      <c r="J27" s="39">
        <v>16.004893781809201</v>
      </c>
      <c r="K27" s="37">
        <v>13.859303148437508</v>
      </c>
      <c r="L27" s="38">
        <v>15.377407602499012</v>
      </c>
      <c r="M27" s="38">
        <v>14.722197670783972</v>
      </c>
      <c r="N27" s="39">
        <v>17.99967767199427</v>
      </c>
      <c r="O27" s="424">
        <v>15.915838204313046</v>
      </c>
      <c r="P27" s="38">
        <v>18.663778313969878</v>
      </c>
      <c r="Q27" s="38">
        <v>18.399999999999999</v>
      </c>
      <c r="R27" s="39">
        <v>19.26446481825031</v>
      </c>
      <c r="S27" s="38">
        <v>17.451349902168754</v>
      </c>
      <c r="T27" s="38">
        <v>20.551492665631908</v>
      </c>
      <c r="U27" s="38">
        <v>21.321002235105478</v>
      </c>
      <c r="V27" s="38">
        <v>22.784445393452732</v>
      </c>
      <c r="W27" s="1087">
        <v>21.513011325512799</v>
      </c>
      <c r="X27" s="440">
        <f t="shared" si="49"/>
        <v>0.23274196243347833</v>
      </c>
      <c r="Y27" s="441">
        <f t="shared" si="50"/>
        <v>-5.5802721812368006E-2</v>
      </c>
      <c r="Z27" s="425"/>
      <c r="AA27" s="37">
        <v>23.082470980281649</v>
      </c>
      <c r="AB27" s="38">
        <v>31.487337675033793</v>
      </c>
      <c r="AC27" s="37">
        <v>36.615532160231204</v>
      </c>
      <c r="AD27" s="38">
        <v>45.01794178719819</v>
      </c>
      <c r="AE27" s="38">
        <v>54.295282010693086</v>
      </c>
      <c r="AF27" s="38">
        <v>61.958586093714764</v>
      </c>
      <c r="AG27" s="38">
        <v>71.968245040821472</v>
      </c>
      <c r="AH27" s="38">
        <v>82.137274492801851</v>
      </c>
      <c r="AI27" s="604">
        <f>+AH27/AG27-1</f>
        <v>0.14129883876162808</v>
      </c>
      <c r="AJ27" s="604">
        <f>+POWER(AH27/AC27,0.2)-1</f>
        <v>0.1753710442380676</v>
      </c>
    </row>
    <row r="28" spans="2:37" ht="15" customHeight="1" x14ac:dyDescent="0.25">
      <c r="K28" s="321"/>
      <c r="O28" s="321"/>
      <c r="S28" s="321"/>
      <c r="T28" s="554"/>
      <c r="U28" s="554"/>
      <c r="V28" s="554"/>
      <c r="W28" s="554"/>
      <c r="X28" s="555"/>
      <c r="AC28" s="1"/>
      <c r="AD28" s="1"/>
      <c r="AE28" s="1"/>
      <c r="AF28" s="1"/>
      <c r="AG28" s="1"/>
      <c r="AH28" s="1"/>
    </row>
    <row r="29" spans="2:37" ht="15" customHeight="1" x14ac:dyDescent="0.25">
      <c r="M29" s="321"/>
      <c r="N29" s="321"/>
      <c r="O29" s="321"/>
      <c r="P29" s="321"/>
      <c r="Q29" s="321"/>
      <c r="R29" s="321"/>
      <c r="S29" s="321"/>
      <c r="T29" s="321"/>
      <c r="AC29" s="1"/>
      <c r="AD29" s="1"/>
      <c r="AE29" s="1"/>
      <c r="AF29" s="1"/>
      <c r="AG29" s="321"/>
      <c r="AH29" s="15"/>
    </row>
    <row r="30" spans="2:37" x14ac:dyDescent="0.25">
      <c r="T30" s="321"/>
      <c r="U30" s="553"/>
      <c r="V30" s="553"/>
      <c r="W30" s="553"/>
      <c r="X30" s="556"/>
      <c r="AC30" s="321"/>
      <c r="AD30" s="321"/>
      <c r="AE30" s="321"/>
      <c r="AF30" s="321"/>
      <c r="AG30" s="321"/>
      <c r="AH30" s="321"/>
    </row>
    <row r="31" spans="2:37" x14ac:dyDescent="0.25">
      <c r="S31" s="556"/>
      <c r="T31" s="321"/>
      <c r="U31" s="321"/>
      <c r="V31" s="321"/>
      <c r="W31" s="321"/>
    </row>
    <row r="32" spans="2:37" x14ac:dyDescent="0.25">
      <c r="U32" s="321"/>
      <c r="V32" s="321"/>
      <c r="W32" s="321"/>
      <c r="AC32" s="321"/>
      <c r="AD32" s="321"/>
      <c r="AE32" s="321"/>
      <c r="AF32" s="321"/>
      <c r="AG32" s="321"/>
      <c r="AH32" s="321"/>
    </row>
  </sheetData>
  <hyperlinks>
    <hyperlink ref="A1" location="Index!A1" display="Index" xr:uid="{00000000-0004-0000-0100-000000000000}"/>
  </hyperlinks>
  <printOptions horizontalCentered="1"/>
  <pageMargins left="0.25" right="0.25" top="0.75" bottom="0.75" header="0.3" footer="0.3"/>
  <pageSetup paperSize="9" scale="52" fitToHeight="0" orientation="landscape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J28"/>
  <sheetViews>
    <sheetView showGridLines="0" zoomScale="80" zoomScaleNormal="80" workbookViewId="0">
      <pane xSplit="2" ySplit="4" topLeftCell="K5" activePane="bottomRight" state="frozen"/>
      <selection activeCell="B35" sqref="B35"/>
      <selection pane="topRight" activeCell="B35" sqref="B35"/>
      <selection pane="bottomLeft" activeCell="B35" sqref="B35"/>
      <selection pane="bottomRight" activeCell="W8" sqref="W8"/>
    </sheetView>
  </sheetViews>
  <sheetFormatPr defaultColWidth="9.140625" defaultRowHeight="15" outlineLevelCol="1" x14ac:dyDescent="0.25"/>
  <cols>
    <col min="1" max="1" width="7.28515625" style="168" bestFit="1" customWidth="1"/>
    <col min="2" max="2" width="28.42578125" style="20" bestFit="1" customWidth="1"/>
    <col min="3" max="3" width="9.28515625" style="168" hidden="1" customWidth="1" outlineLevel="1"/>
    <col min="4" max="4" width="8.7109375" style="168" hidden="1" customWidth="1" outlineLevel="1"/>
    <col min="5" max="9" width="10.42578125" style="168" hidden="1" customWidth="1" outlineLevel="1"/>
    <col min="10" max="10" width="10.42578125" style="117" hidden="1" customWidth="1" outlineLevel="1"/>
    <col min="11" max="11" width="10.42578125" style="168" bestFit="1" customWidth="1" collapsed="1"/>
    <col min="12" max="13" width="10.42578125" style="168" bestFit="1" customWidth="1"/>
    <col min="14" max="14" width="11.28515625" style="168" bestFit="1" customWidth="1"/>
    <col min="15" max="19" width="11.28515625" style="167" bestFit="1" customWidth="1"/>
    <col min="20" max="20" width="12" style="167" bestFit="1" customWidth="1"/>
    <col min="21" max="23" width="12" style="167" customWidth="1"/>
    <col min="24" max="24" width="5.85546875" style="168" customWidth="1"/>
    <col min="25" max="26" width="8.7109375" style="168" hidden="1" customWidth="1" outlineLevel="1"/>
    <col min="27" max="27" width="8.7109375" style="168" bestFit="1" customWidth="1" collapsed="1"/>
    <col min="28" max="30" width="10.42578125" style="168" bestFit="1" customWidth="1"/>
    <col min="31" max="32" width="10.42578125" style="168" customWidth="1"/>
    <col min="33" max="33" width="9.85546875" style="415" customWidth="1"/>
    <col min="34" max="16384" width="9.140625" style="168"/>
  </cols>
  <sheetData>
    <row r="1" spans="1:36" x14ac:dyDescent="0.25">
      <c r="A1" s="181" t="s">
        <v>0</v>
      </c>
      <c r="B1" s="182"/>
      <c r="C1" s="183"/>
      <c r="D1" s="183"/>
      <c r="E1" s="183"/>
      <c r="F1" s="183"/>
      <c r="H1" s="183"/>
      <c r="I1" s="183"/>
      <c r="J1" s="160"/>
      <c r="K1" s="183"/>
    </row>
    <row r="4" spans="1:36" s="109" customFormat="1" ht="45" x14ac:dyDescent="0.25">
      <c r="B4" s="111" t="s">
        <v>161</v>
      </c>
      <c r="C4" s="85" t="s">
        <v>182</v>
      </c>
      <c r="D4" s="85" t="s">
        <v>183</v>
      </c>
      <c r="E4" s="85" t="s">
        <v>184</v>
      </c>
      <c r="F4" s="85" t="s">
        <v>185</v>
      </c>
      <c r="G4" s="85" t="s">
        <v>115</v>
      </c>
      <c r="H4" s="85" t="s">
        <v>114</v>
      </c>
      <c r="I4" s="85" t="s">
        <v>113</v>
      </c>
      <c r="J4" s="85" t="s">
        <v>112</v>
      </c>
      <c r="K4" s="108" t="s">
        <v>16</v>
      </c>
      <c r="L4" s="85" t="s">
        <v>17</v>
      </c>
      <c r="M4" s="85" t="s">
        <v>18</v>
      </c>
      <c r="N4" s="107" t="s">
        <v>99</v>
      </c>
      <c r="O4" s="108" t="s">
        <v>100</v>
      </c>
      <c r="P4" s="85" t="s">
        <v>132</v>
      </c>
      <c r="Q4" s="85" t="s">
        <v>175</v>
      </c>
      <c r="R4" s="107" t="s">
        <v>240</v>
      </c>
      <c r="S4" s="108" t="s">
        <v>272</v>
      </c>
      <c r="T4" s="85" t="s">
        <v>273</v>
      </c>
      <c r="U4" s="85" t="s">
        <v>280</v>
      </c>
      <c r="V4" s="85" t="s">
        <v>283</v>
      </c>
      <c r="W4" s="1088" t="s">
        <v>252</v>
      </c>
      <c r="Y4" s="108" t="s">
        <v>6</v>
      </c>
      <c r="Z4" s="85" t="s">
        <v>7</v>
      </c>
      <c r="AA4" s="108" t="s">
        <v>8</v>
      </c>
      <c r="AB4" s="85" t="s">
        <v>9</v>
      </c>
      <c r="AC4" s="85" t="s">
        <v>10</v>
      </c>
      <c r="AD4" s="85" t="s">
        <v>98</v>
      </c>
      <c r="AE4" s="85" t="s">
        <v>239</v>
      </c>
      <c r="AF4" s="85" t="s">
        <v>282</v>
      </c>
      <c r="AG4" s="558" t="s">
        <v>284</v>
      </c>
    </row>
    <row r="5" spans="1:36" x14ac:dyDescent="0.25">
      <c r="B5" s="184" t="s">
        <v>19</v>
      </c>
      <c r="C5" s="186"/>
      <c r="D5" s="186"/>
      <c r="E5" s="186"/>
      <c r="F5" s="186"/>
      <c r="G5" s="117"/>
      <c r="H5" s="117"/>
      <c r="I5" s="117"/>
      <c r="K5" s="119"/>
      <c r="L5" s="117"/>
      <c r="M5" s="117"/>
      <c r="N5" s="118"/>
      <c r="O5" s="119"/>
      <c r="P5" s="117"/>
      <c r="Q5" s="117"/>
      <c r="R5" s="118"/>
      <c r="S5" s="119"/>
      <c r="T5" s="117"/>
      <c r="U5" s="117"/>
      <c r="V5" s="118"/>
      <c r="W5" s="118"/>
      <c r="Y5" s="119"/>
      <c r="Z5" s="117"/>
      <c r="AA5" s="119"/>
      <c r="AB5" s="117"/>
      <c r="AC5" s="117"/>
      <c r="AD5" s="117"/>
      <c r="AE5" s="117"/>
      <c r="AF5" s="118"/>
      <c r="AG5" s="195" t="s">
        <v>250</v>
      </c>
    </row>
    <row r="6" spans="1:36" x14ac:dyDescent="0.25">
      <c r="B6" s="129" t="s">
        <v>20</v>
      </c>
      <c r="C6" s="173">
        <v>785.1</v>
      </c>
      <c r="D6" s="173">
        <v>789.1</v>
      </c>
      <c r="E6" s="173">
        <v>789.30000000000007</v>
      </c>
      <c r="F6" s="173">
        <v>789.40000000000009</v>
      </c>
      <c r="G6" s="173">
        <v>789.60000000000014</v>
      </c>
      <c r="H6" s="173">
        <v>790.3</v>
      </c>
      <c r="I6" s="173">
        <v>790.39999999999986</v>
      </c>
      <c r="J6" s="173">
        <v>790.56874078999999</v>
      </c>
      <c r="K6" s="172">
        <v>790.90000000000009</v>
      </c>
      <c r="L6" s="173">
        <v>791.2</v>
      </c>
      <c r="M6" s="173">
        <v>791.4</v>
      </c>
      <c r="N6" s="174">
        <v>791.39705078999998</v>
      </c>
      <c r="O6" s="172">
        <v>791.39705078999998</v>
      </c>
      <c r="P6" s="173">
        <v>791.41580078999993</v>
      </c>
      <c r="Q6" s="173">
        <v>791.43780078999998</v>
      </c>
      <c r="R6" s="174">
        <v>791.53665078999995</v>
      </c>
      <c r="S6" s="172">
        <v>791.56905079000001</v>
      </c>
      <c r="T6" s="173">
        <v>791.61353079000003</v>
      </c>
      <c r="U6" s="173">
        <v>791.79511078999997</v>
      </c>
      <c r="V6" s="174">
        <v>792.82743078999988</v>
      </c>
      <c r="W6" s="174">
        <v>792.87782078999999</v>
      </c>
      <c r="Y6" s="172">
        <v>781.07901002999995</v>
      </c>
      <c r="Z6" s="173">
        <v>783.22661033999998</v>
      </c>
      <c r="AA6" s="172">
        <v>785.04551072000004</v>
      </c>
      <c r="AB6" s="173">
        <v>789.36451078000005</v>
      </c>
      <c r="AC6" s="173">
        <v>790.56874078999999</v>
      </c>
      <c r="AD6" s="173">
        <v>791.39705078999998</v>
      </c>
      <c r="AE6" s="173">
        <v>791.53665078999995</v>
      </c>
      <c r="AF6" s="174">
        <f>+V6</f>
        <v>792.82743078999988</v>
      </c>
      <c r="AG6" s="195"/>
    </row>
    <row r="7" spans="1:36" x14ac:dyDescent="0.25">
      <c r="B7" s="129" t="s">
        <v>21</v>
      </c>
      <c r="C7" s="173">
        <v>23895.9</v>
      </c>
      <c r="D7" s="173">
        <v>24911.300000000003</v>
      </c>
      <c r="E7" s="173">
        <v>25866.100000000002</v>
      </c>
      <c r="F7" s="173">
        <v>27297.1</v>
      </c>
      <c r="G7" s="173">
        <v>28260.1</v>
      </c>
      <c r="H7" s="173">
        <v>29523.800000000003</v>
      </c>
      <c r="I7" s="173">
        <v>30698.400000000001</v>
      </c>
      <c r="J7" s="173">
        <v>31906.031371555771</v>
      </c>
      <c r="K7" s="172">
        <v>33095.800000000003</v>
      </c>
      <c r="L7" s="173">
        <v>34344.400000000001</v>
      </c>
      <c r="M7" s="173">
        <v>35522.6</v>
      </c>
      <c r="N7" s="174">
        <v>36941.754871802135</v>
      </c>
      <c r="O7" s="172">
        <v>38241.60760872985</v>
      </c>
      <c r="P7" s="173">
        <v>39692.280307329544</v>
      </c>
      <c r="Q7" s="173">
        <v>41177.243843815697</v>
      </c>
      <c r="R7" s="174">
        <v>42816.785906836813</v>
      </c>
      <c r="S7" s="172">
        <v>44306.499977963613</v>
      </c>
      <c r="T7" s="173">
        <v>46007.086266940583</v>
      </c>
      <c r="U7" s="173">
        <v>47789.559596395804</v>
      </c>
      <c r="V7" s="174">
        <v>49715.627566635041</v>
      </c>
      <c r="W7" s="174">
        <v>51402.697027437898</v>
      </c>
      <c r="Y7" s="172">
        <v>17588.514130593168</v>
      </c>
      <c r="Z7" s="173">
        <v>20196.110363336531</v>
      </c>
      <c r="AA7" s="172">
        <v>23229.00241582319</v>
      </c>
      <c r="AB7" s="173">
        <v>27297.068450691833</v>
      </c>
      <c r="AC7" s="173">
        <v>31906.0313715558</v>
      </c>
      <c r="AD7" s="173">
        <v>36941.754871802135</v>
      </c>
      <c r="AE7" s="173">
        <v>42816.785906836813</v>
      </c>
      <c r="AF7" s="174">
        <f t="shared" ref="AF7:AF20" si="0">+V7</f>
        <v>49715.627566635041</v>
      </c>
      <c r="AG7" s="195"/>
    </row>
    <row r="8" spans="1:36" x14ac:dyDescent="0.25">
      <c r="B8" s="411" t="s">
        <v>219</v>
      </c>
      <c r="C8" s="412">
        <v>24681</v>
      </c>
      <c r="D8" s="412">
        <v>25700.400000000001</v>
      </c>
      <c r="E8" s="412">
        <v>26655.4</v>
      </c>
      <c r="F8" s="412">
        <v>28086.5</v>
      </c>
      <c r="G8" s="412">
        <v>29049.699999999997</v>
      </c>
      <c r="H8" s="412">
        <v>30314.100000000002</v>
      </c>
      <c r="I8" s="412">
        <v>31488.800000000003</v>
      </c>
      <c r="J8" s="412">
        <v>32696.600112345772</v>
      </c>
      <c r="K8" s="414">
        <v>33886.700000000004</v>
      </c>
      <c r="L8" s="412">
        <v>35135.599999999999</v>
      </c>
      <c r="M8" s="412">
        <v>36314</v>
      </c>
      <c r="N8" s="413">
        <v>37733.151922592137</v>
      </c>
      <c r="O8" s="414">
        <v>39033.004659519851</v>
      </c>
      <c r="P8" s="412">
        <v>40483.69610811954</v>
      </c>
      <c r="Q8" s="412">
        <v>41968.681644605698</v>
      </c>
      <c r="R8" s="413">
        <v>43608.322557626816</v>
      </c>
      <c r="S8" s="414">
        <f>SUM(S6:S7)</f>
        <v>45098.069028753613</v>
      </c>
      <c r="T8" s="412">
        <f>SUM(T6:T7)</f>
        <v>46798.69979773058</v>
      </c>
      <c r="U8" s="412">
        <f>SUM(U6:U7)</f>
        <v>48581.354707185805</v>
      </c>
      <c r="V8" s="413">
        <f>SUM(V6:V7)</f>
        <v>50508.45499742504</v>
      </c>
      <c r="W8" s="413">
        <f>SUM(W6:W7)</f>
        <v>52195.574848227901</v>
      </c>
      <c r="X8" s="154"/>
      <c r="Y8" s="414">
        <v>18369.593140623168</v>
      </c>
      <c r="Z8" s="412">
        <v>20979.336973676531</v>
      </c>
      <c r="AA8" s="414">
        <v>24014.04792654319</v>
      </c>
      <c r="AB8" s="412">
        <v>28086.432961471834</v>
      </c>
      <c r="AC8" s="412">
        <v>32696.600112345801</v>
      </c>
      <c r="AD8" s="412">
        <v>37733.151922592137</v>
      </c>
      <c r="AE8" s="412">
        <v>43608.322557626816</v>
      </c>
      <c r="AF8" s="413">
        <f t="shared" si="0"/>
        <v>50508.45499742504</v>
      </c>
      <c r="AG8" s="416">
        <f>+POWER(AF8/AA8,0.2)-1</f>
        <v>0.16032524764160638</v>
      </c>
      <c r="AI8" s="204"/>
    </row>
    <row r="9" spans="1:36" x14ac:dyDescent="0.25">
      <c r="B9" s="129" t="s">
        <v>22</v>
      </c>
      <c r="C9" s="173">
        <v>64859.4</v>
      </c>
      <c r="D9" s="173">
        <v>69055</v>
      </c>
      <c r="E9" s="173">
        <v>72291.100000000006</v>
      </c>
      <c r="F9" s="173">
        <v>79725</v>
      </c>
      <c r="G9" s="173">
        <v>82909</v>
      </c>
      <c r="H9" s="173">
        <v>85712.299999999988</v>
      </c>
      <c r="I9" s="173">
        <v>91201.199999999983</v>
      </c>
      <c r="J9" s="173">
        <v>98406.907166782737</v>
      </c>
      <c r="K9" s="172">
        <v>106298.50000000003</v>
      </c>
      <c r="L9" s="173">
        <v>111444.1</v>
      </c>
      <c r="M9" s="173">
        <v>114145.80000000002</v>
      </c>
      <c r="N9" s="174">
        <v>123364.95691877308</v>
      </c>
      <c r="O9" s="461">
        <v>125343</v>
      </c>
      <c r="P9" s="297">
        <v>124080</v>
      </c>
      <c r="Q9" s="297">
        <v>133803.24186671659</v>
      </c>
      <c r="R9" s="298">
        <v>139184.75799978987</v>
      </c>
      <c r="S9" s="461">
        <v>143899.17914158016</v>
      </c>
      <c r="T9" s="297">
        <v>144126.41183368125</v>
      </c>
      <c r="U9" s="297">
        <v>150033.32707557324</v>
      </c>
      <c r="V9" s="298">
        <v>156855.70792115491</v>
      </c>
      <c r="W9" s="298">
        <v>160704.62325506465</v>
      </c>
      <c r="X9" s="228"/>
      <c r="Y9" s="172">
        <v>36532.508839167109</v>
      </c>
      <c r="Z9" s="173">
        <v>53520.354546158713</v>
      </c>
      <c r="AA9" s="172">
        <v>63454.228487309992</v>
      </c>
      <c r="AB9" s="173">
        <v>79724.973488312375</v>
      </c>
      <c r="AC9" s="173">
        <v>98406.907166782737</v>
      </c>
      <c r="AD9" s="173">
        <v>123364.95691877308</v>
      </c>
      <c r="AE9" s="173">
        <v>139184.75799978987</v>
      </c>
      <c r="AF9" s="298">
        <f t="shared" si="0"/>
        <v>156855.70792115491</v>
      </c>
      <c r="AG9" s="416">
        <f>+POWER(AF9/AA9,0.2)-1</f>
        <v>0.19841697455950658</v>
      </c>
    </row>
    <row r="10" spans="1:36" x14ac:dyDescent="0.25">
      <c r="B10" s="129" t="s">
        <v>103</v>
      </c>
      <c r="C10" s="173">
        <v>198.3</v>
      </c>
      <c r="D10" s="173">
        <v>210</v>
      </c>
      <c r="E10" s="173">
        <v>282.10000000000002</v>
      </c>
      <c r="F10" s="173">
        <v>353.6</v>
      </c>
      <c r="G10" s="173">
        <v>361.9</v>
      </c>
      <c r="H10" s="173">
        <v>426.6</v>
      </c>
      <c r="I10" s="173">
        <v>455.7</v>
      </c>
      <c r="J10" s="173">
        <v>501.77606961036128</v>
      </c>
      <c r="K10" s="172">
        <v>505.9</v>
      </c>
      <c r="L10" s="173">
        <v>540.20000000000005</v>
      </c>
      <c r="M10" s="173">
        <v>560.6</v>
      </c>
      <c r="N10" s="174">
        <v>602.47762715652675</v>
      </c>
      <c r="O10" s="172">
        <v>577.6933418283345</v>
      </c>
      <c r="P10" s="173">
        <v>632.52095765667616</v>
      </c>
      <c r="Q10" s="173">
        <v>690.3638260381008</v>
      </c>
      <c r="R10" s="174">
        <v>755.7152155127402</v>
      </c>
      <c r="S10" s="172">
        <v>764.15841014949433</v>
      </c>
      <c r="T10" s="173">
        <v>831.37208580962613</v>
      </c>
      <c r="U10" s="173">
        <v>903.60091154770657</v>
      </c>
      <c r="V10" s="174">
        <v>1003.8511824225285</v>
      </c>
      <c r="W10" s="174">
        <v>1018.4377190458483</v>
      </c>
      <c r="Y10" s="172">
        <v>427.49315794432539</v>
      </c>
      <c r="Z10" s="173">
        <v>317.03005869572473</v>
      </c>
      <c r="AA10" s="172">
        <v>285.22694121686999</v>
      </c>
      <c r="AB10" s="173">
        <v>353.55537821683555</v>
      </c>
      <c r="AC10" s="173">
        <v>501.77606961036128</v>
      </c>
      <c r="AD10" s="173">
        <v>602.47762715652675</v>
      </c>
      <c r="AE10" s="173">
        <v>755.7152155127402</v>
      </c>
      <c r="AF10" s="174">
        <f t="shared" si="0"/>
        <v>1003.8511824225285</v>
      </c>
      <c r="AG10" s="195"/>
    </row>
    <row r="11" spans="1:36" x14ac:dyDescent="0.25">
      <c r="B11" s="129" t="s">
        <v>23</v>
      </c>
      <c r="C11" s="173">
        <v>2085</v>
      </c>
      <c r="D11" s="173">
        <v>2547.5</v>
      </c>
      <c r="E11" s="173">
        <v>2366.1999999999998</v>
      </c>
      <c r="F11" s="173">
        <v>2038.9</v>
      </c>
      <c r="G11" s="173">
        <v>2677.7000000000003</v>
      </c>
      <c r="H11" s="173">
        <v>2426.8000000000002</v>
      </c>
      <c r="I11" s="173">
        <v>2550.1999999999998</v>
      </c>
      <c r="J11" s="173">
        <v>2500.0261523127283</v>
      </c>
      <c r="K11" s="172">
        <v>3300.7</v>
      </c>
      <c r="L11" s="173">
        <v>3256.2999999999993</v>
      </c>
      <c r="M11" s="173">
        <v>3476.8</v>
      </c>
      <c r="N11" s="174">
        <v>3493.9486951505805</v>
      </c>
      <c r="O11" s="461">
        <v>4970</v>
      </c>
      <c r="P11" s="297">
        <v>3655</v>
      </c>
      <c r="Q11" s="297">
        <v>2438.1803148233371</v>
      </c>
      <c r="R11" s="298">
        <v>2635.9439946624866</v>
      </c>
      <c r="S11" s="461">
        <v>2965.4486598400808</v>
      </c>
      <c r="T11" s="297">
        <v>2653.9163490145702</v>
      </c>
      <c r="U11" s="297">
        <v>3379.0981195301351</v>
      </c>
      <c r="V11" s="298">
        <v>3756.9951450950839</v>
      </c>
      <c r="W11" s="298">
        <v>3931.3748612787072</v>
      </c>
      <c r="Y11" s="172">
        <v>938.68406273727771</v>
      </c>
      <c r="Z11" s="297">
        <v>1753.7717669866406</v>
      </c>
      <c r="AA11" s="172">
        <v>1846.9662067098539</v>
      </c>
      <c r="AB11" s="173">
        <v>2038.8683241186586</v>
      </c>
      <c r="AC11" s="173">
        <v>2500.0261523127283</v>
      </c>
      <c r="AD11" s="173">
        <v>3493.9486951505805</v>
      </c>
      <c r="AE11" s="173">
        <v>2635.9439946624866</v>
      </c>
      <c r="AF11" s="298">
        <f t="shared" si="0"/>
        <v>3756.9951450950839</v>
      </c>
      <c r="AG11" s="416"/>
    </row>
    <row r="12" spans="1:36" x14ac:dyDescent="0.25">
      <c r="B12" s="137" t="s">
        <v>24</v>
      </c>
      <c r="C12" s="176">
        <v>91823.7</v>
      </c>
      <c r="D12" s="176">
        <v>97512.9</v>
      </c>
      <c r="E12" s="176">
        <v>101594.8</v>
      </c>
      <c r="F12" s="176">
        <v>110204</v>
      </c>
      <c r="G12" s="176">
        <v>114998.29999999999</v>
      </c>
      <c r="H12" s="176">
        <v>118879.8</v>
      </c>
      <c r="I12" s="176">
        <v>125695.89999999998</v>
      </c>
      <c r="J12" s="176">
        <v>134105.30950105158</v>
      </c>
      <c r="K12" s="175">
        <v>143991.80000000005</v>
      </c>
      <c r="L12" s="176">
        <v>150376.20000000001</v>
      </c>
      <c r="M12" s="176">
        <v>154497.20000000001</v>
      </c>
      <c r="N12" s="177">
        <v>165194.53516367232</v>
      </c>
      <c r="O12" s="175">
        <v>169923.69800134818</v>
      </c>
      <c r="P12" s="176">
        <v>168851.2170657762</v>
      </c>
      <c r="Q12" s="176">
        <v>178900.46765218378</v>
      </c>
      <c r="R12" s="177">
        <v>186184.73976759191</v>
      </c>
      <c r="S12" s="175">
        <f>SUM(S8:S11)</f>
        <v>192726.85524032332</v>
      </c>
      <c r="T12" s="176">
        <f>SUM(T8:T11)</f>
        <v>194410.400066236</v>
      </c>
      <c r="U12" s="176">
        <f>SUM(U8:U11)</f>
        <v>202897.38081383688</v>
      </c>
      <c r="V12" s="177">
        <f>SUM(V8:V11)</f>
        <v>212125.00924609756</v>
      </c>
      <c r="W12" s="177">
        <f>SUM(W8:W11)</f>
        <v>217850.01068361712</v>
      </c>
      <c r="Y12" s="175">
        <v>56268.279200471879</v>
      </c>
      <c r="Z12" s="176">
        <v>76570.493345517607</v>
      </c>
      <c r="AA12" s="175">
        <v>89600.469561779901</v>
      </c>
      <c r="AB12" s="176">
        <v>110203.8301521197</v>
      </c>
      <c r="AC12" s="176">
        <v>134105.30950105158</v>
      </c>
      <c r="AD12" s="176">
        <v>165194.53516367232</v>
      </c>
      <c r="AE12" s="176">
        <v>186184.73976759191</v>
      </c>
      <c r="AF12" s="177">
        <f t="shared" si="0"/>
        <v>212125.00924609756</v>
      </c>
      <c r="AG12" s="417">
        <f>+POWER(AF12/AA12,0.2)-1</f>
        <v>0.18810908760250533</v>
      </c>
    </row>
    <row r="13" spans="1:36" x14ac:dyDescent="0.25">
      <c r="B13" s="123"/>
      <c r="C13" s="185"/>
      <c r="D13" s="185"/>
      <c r="E13" s="185"/>
      <c r="F13" s="185"/>
      <c r="G13" s="185"/>
      <c r="H13" s="185"/>
      <c r="I13" s="185"/>
      <c r="J13" s="185"/>
      <c r="K13" s="462"/>
      <c r="L13" s="185"/>
      <c r="M13" s="185"/>
      <c r="N13" s="368"/>
      <c r="O13" s="462"/>
      <c r="P13" s="185"/>
      <c r="Q13" s="185"/>
      <c r="R13" s="368"/>
      <c r="S13" s="462"/>
      <c r="T13" s="185"/>
      <c r="U13" s="185"/>
      <c r="V13" s="174"/>
      <c r="W13" s="174"/>
      <c r="Y13" s="172"/>
      <c r="Z13" s="173"/>
      <c r="AA13" s="172"/>
      <c r="AB13" s="173"/>
      <c r="AC13" s="173"/>
      <c r="AD13" s="173"/>
      <c r="AE13" s="173"/>
      <c r="AF13" s="368"/>
      <c r="AG13" s="200"/>
    </row>
    <row r="14" spans="1:36" x14ac:dyDescent="0.25">
      <c r="B14" s="184" t="s">
        <v>25</v>
      </c>
      <c r="C14" s="186"/>
      <c r="D14" s="186"/>
      <c r="E14" s="186"/>
      <c r="F14" s="186"/>
      <c r="G14" s="186"/>
      <c r="H14" s="186"/>
      <c r="I14" s="186"/>
      <c r="J14" s="186"/>
      <c r="K14" s="188"/>
      <c r="L14" s="186"/>
      <c r="M14" s="186"/>
      <c r="N14" s="187"/>
      <c r="O14" s="188"/>
      <c r="P14" s="186"/>
      <c r="Q14" s="186"/>
      <c r="R14" s="187"/>
      <c r="S14" s="188"/>
      <c r="T14" s="186"/>
      <c r="U14" s="186"/>
      <c r="V14" s="187"/>
      <c r="W14" s="187"/>
      <c r="Y14" s="188"/>
      <c r="Z14" s="186"/>
      <c r="AA14" s="188"/>
      <c r="AB14" s="186"/>
      <c r="AC14" s="186"/>
      <c r="AD14" s="186"/>
      <c r="AE14" s="186"/>
      <c r="AF14" s="187"/>
      <c r="AG14" s="418"/>
    </row>
    <row r="15" spans="1:36" x14ac:dyDescent="0.25">
      <c r="B15" s="129" t="s">
        <v>26</v>
      </c>
      <c r="C15" s="173">
        <v>77593.8</v>
      </c>
      <c r="D15" s="173">
        <v>82074.900000000009</v>
      </c>
      <c r="E15" s="173">
        <v>84774.700000000012</v>
      </c>
      <c r="F15" s="173">
        <v>90534.2</v>
      </c>
      <c r="G15" s="173">
        <v>95918.3</v>
      </c>
      <c r="H15" s="173">
        <v>100817.9</v>
      </c>
      <c r="I15" s="173">
        <v>105528</v>
      </c>
      <c r="J15" s="173">
        <v>114762.74483970468</v>
      </c>
      <c r="K15" s="172">
        <v>119144</v>
      </c>
      <c r="L15" s="173">
        <v>124026.19999999998</v>
      </c>
      <c r="M15" s="173">
        <v>129932.4</v>
      </c>
      <c r="N15" s="174">
        <v>140043.66843149986</v>
      </c>
      <c r="O15" s="172">
        <v>144445.17925607553</v>
      </c>
      <c r="P15" s="173">
        <v>147145.55723518546</v>
      </c>
      <c r="Q15" s="173">
        <v>153170.82765371984</v>
      </c>
      <c r="R15" s="174">
        <v>162297.09296415022</v>
      </c>
      <c r="S15" s="172">
        <v>162272.51017948383</v>
      </c>
      <c r="T15" s="173">
        <v>166630.36079424113</v>
      </c>
      <c r="U15" s="173">
        <v>173022.54834628646</v>
      </c>
      <c r="V15" s="174">
        <v>183726.94681780701</v>
      </c>
      <c r="W15" s="174">
        <v>187339.32339535077</v>
      </c>
      <c r="Y15" s="172">
        <v>47244.899896294293</v>
      </c>
      <c r="Z15" s="173">
        <v>61807.982761171836</v>
      </c>
      <c r="AA15" s="172">
        <v>75232.862971911018</v>
      </c>
      <c r="AB15" s="173">
        <v>90534.236379052425</v>
      </c>
      <c r="AC15" s="173">
        <v>114762.74483970468</v>
      </c>
      <c r="AD15" s="173">
        <v>140043.66843149986</v>
      </c>
      <c r="AE15" s="173">
        <v>162297.09296415022</v>
      </c>
      <c r="AF15" s="174">
        <f t="shared" si="0"/>
        <v>183726.94681780701</v>
      </c>
      <c r="AG15" s="195">
        <f>+POWER(AF15/AA15,0.2)-1</f>
        <v>0.19550956117982277</v>
      </c>
      <c r="AJ15" s="204"/>
    </row>
    <row r="16" spans="1:36" x14ac:dyDescent="0.25">
      <c r="B16" s="129" t="s">
        <v>27</v>
      </c>
      <c r="C16" s="173">
        <v>45</v>
      </c>
      <c r="D16" s="173">
        <v>45</v>
      </c>
      <c r="E16" s="173">
        <v>676.40000000000009</v>
      </c>
      <c r="F16" s="173">
        <v>675.2</v>
      </c>
      <c r="G16" s="173">
        <v>669.5</v>
      </c>
      <c r="H16" s="173">
        <v>668.2</v>
      </c>
      <c r="I16" s="173">
        <v>1248.4000000000001</v>
      </c>
      <c r="J16" s="173">
        <v>1230.8055743761843</v>
      </c>
      <c r="K16" s="172">
        <v>1522.9</v>
      </c>
      <c r="L16" s="173">
        <v>1527.1</v>
      </c>
      <c r="M16" s="173">
        <v>1874.7</v>
      </c>
      <c r="N16" s="174">
        <v>1821.563010371256</v>
      </c>
      <c r="O16" s="172">
        <v>1807.6106822099998</v>
      </c>
      <c r="P16" s="173">
        <v>2077.0695503715478</v>
      </c>
      <c r="Q16" s="173">
        <v>2048.7081103476612</v>
      </c>
      <c r="R16" s="174">
        <v>2300.1839983800005</v>
      </c>
      <c r="S16" s="172">
        <v>6408.8584204499994</v>
      </c>
      <c r="T16" s="173">
        <v>2089.9734886199999</v>
      </c>
      <c r="U16" s="173">
        <v>2334.42260708</v>
      </c>
      <c r="V16" s="174">
        <v>2708.1180209599997</v>
      </c>
      <c r="W16" s="174">
        <v>2539.3212842399998</v>
      </c>
      <c r="Y16" s="172">
        <v>45</v>
      </c>
      <c r="Z16" s="173">
        <v>45</v>
      </c>
      <c r="AA16" s="172">
        <v>45</v>
      </c>
      <c r="AB16" s="173">
        <v>675.17313080999998</v>
      </c>
      <c r="AC16" s="173">
        <v>1230.8055743761843</v>
      </c>
      <c r="AD16" s="173">
        <v>1821.563010371256</v>
      </c>
      <c r="AE16" s="173">
        <v>2300.1839983800005</v>
      </c>
      <c r="AF16" s="174">
        <f t="shared" si="0"/>
        <v>2708.1180209599997</v>
      </c>
      <c r="AG16" s="195"/>
    </row>
    <row r="17" spans="2:33" x14ac:dyDescent="0.25">
      <c r="B17" s="129" t="s">
        <v>28</v>
      </c>
      <c r="C17" s="173">
        <v>281.7</v>
      </c>
      <c r="D17" s="173">
        <v>291.10000000000002</v>
      </c>
      <c r="E17" s="173">
        <v>290.60000000000002</v>
      </c>
      <c r="F17" s="173">
        <v>327.3</v>
      </c>
      <c r="G17" s="173">
        <v>380.19999999999993</v>
      </c>
      <c r="H17" s="173">
        <v>409.5</v>
      </c>
      <c r="I17" s="173">
        <v>455.90000000000003</v>
      </c>
      <c r="J17" s="173">
        <v>561.14665711777366</v>
      </c>
      <c r="K17" s="172">
        <v>631.1</v>
      </c>
      <c r="L17" s="173">
        <v>646.9</v>
      </c>
      <c r="M17" s="173">
        <v>688.00000000000011</v>
      </c>
      <c r="N17" s="174">
        <v>714.81335909656366</v>
      </c>
      <c r="O17" s="172">
        <v>753.53587373656399</v>
      </c>
      <c r="P17" s="173">
        <v>770.8100279965638</v>
      </c>
      <c r="Q17" s="173">
        <v>802.1915058265638</v>
      </c>
      <c r="R17" s="174">
        <v>824.1348981565643</v>
      </c>
      <c r="S17" s="172">
        <v>841.52463818656429</v>
      </c>
      <c r="T17" s="173">
        <v>872.19987148656526</v>
      </c>
      <c r="U17" s="173">
        <v>875.74552596656486</v>
      </c>
      <c r="V17" s="174">
        <v>921.47087626656162</v>
      </c>
      <c r="W17" s="174">
        <v>905.67282771656164</v>
      </c>
      <c r="Y17" s="172">
        <v>229.11623680000005</v>
      </c>
      <c r="Z17" s="297">
        <v>318.55475199999995</v>
      </c>
      <c r="AA17" s="172">
        <v>289.27467748855423</v>
      </c>
      <c r="AB17" s="173">
        <v>327.32710493877346</v>
      </c>
      <c r="AC17" s="173">
        <v>561.14665711777366</v>
      </c>
      <c r="AD17" s="173">
        <v>714.81335909656366</v>
      </c>
      <c r="AE17" s="173">
        <v>824.1348981565643</v>
      </c>
      <c r="AF17" s="174">
        <f t="shared" si="0"/>
        <v>921.47087626656162</v>
      </c>
      <c r="AG17" s="195">
        <f>+POWER(AF17/AA17,0.2)-1</f>
        <v>0.26076527639057523</v>
      </c>
    </row>
    <row r="18" spans="2:33" x14ac:dyDescent="0.25">
      <c r="B18" s="129" t="s">
        <v>29</v>
      </c>
      <c r="C18" s="173">
        <v>11204.9</v>
      </c>
      <c r="D18" s="173">
        <v>12177.6</v>
      </c>
      <c r="E18" s="173">
        <v>12867.300000000001</v>
      </c>
      <c r="F18" s="173">
        <v>15302.300000000001</v>
      </c>
      <c r="G18" s="173">
        <v>14731.300000000001</v>
      </c>
      <c r="H18" s="173">
        <v>13391.3</v>
      </c>
      <c r="I18" s="173">
        <v>14809.699999999997</v>
      </c>
      <c r="J18" s="173">
        <v>13816.270803259999</v>
      </c>
      <c r="K18" s="172">
        <v>18936.900000000001</v>
      </c>
      <c r="L18" s="173">
        <v>20016.5</v>
      </c>
      <c r="M18" s="173">
        <v>17686.099999999999</v>
      </c>
      <c r="N18" s="174">
        <v>17978.215571639998</v>
      </c>
      <c r="O18" s="172">
        <v>18553.592209480001</v>
      </c>
      <c r="P18" s="173">
        <v>14149.410953940001</v>
      </c>
      <c r="Q18" s="173">
        <v>17977.988141000002</v>
      </c>
      <c r="R18" s="174">
        <v>15596.3180851</v>
      </c>
      <c r="S18" s="172">
        <v>17943.167024360002</v>
      </c>
      <c r="T18" s="173">
        <v>19222.920053549999</v>
      </c>
      <c r="U18" s="173">
        <v>20770.39168017</v>
      </c>
      <c r="V18" s="174">
        <v>18432.994277309997</v>
      </c>
      <c r="W18" s="174">
        <v>20643.293641169999</v>
      </c>
      <c r="Y18" s="172">
        <v>6791.4830126199995</v>
      </c>
      <c r="Z18" s="297">
        <v>11920.553596039999</v>
      </c>
      <c r="AA18" s="172">
        <v>11209.623608230002</v>
      </c>
      <c r="AB18" s="173">
        <v>15302.263949839999</v>
      </c>
      <c r="AC18" s="173">
        <v>13816.270803259999</v>
      </c>
      <c r="AD18" s="173">
        <v>17978.215571639998</v>
      </c>
      <c r="AE18" s="173">
        <v>15596.3180851</v>
      </c>
      <c r="AF18" s="174">
        <f t="shared" si="0"/>
        <v>18432.994277309997</v>
      </c>
      <c r="AG18" s="195">
        <f>+POWER(AF18/AA18,0.2)-1</f>
        <v>0.1045896551466754</v>
      </c>
    </row>
    <row r="19" spans="2:33" x14ac:dyDescent="0.25">
      <c r="B19" s="139" t="s">
        <v>30</v>
      </c>
      <c r="C19" s="179">
        <v>2698.4</v>
      </c>
      <c r="D19" s="179">
        <v>2924.2000000000003</v>
      </c>
      <c r="E19" s="179">
        <v>2985.9</v>
      </c>
      <c r="F19" s="179">
        <v>3364.8</v>
      </c>
      <c r="G19" s="179">
        <v>3298.9000000000005</v>
      </c>
      <c r="H19" s="179">
        <v>3592.9</v>
      </c>
      <c r="I19" s="179">
        <v>3652.9999999999995</v>
      </c>
      <c r="J19" s="179">
        <v>3734.3419038004618</v>
      </c>
      <c r="K19" s="463">
        <v>3756.7000000000003</v>
      </c>
      <c r="L19" s="179">
        <v>4159.2999999999993</v>
      </c>
      <c r="M19" s="179">
        <v>4315.8999999999996</v>
      </c>
      <c r="N19" s="358">
        <v>4636.2765682826275</v>
      </c>
      <c r="O19" s="463">
        <v>4364.2350009697238</v>
      </c>
      <c r="P19" s="179">
        <v>4708.3591926929512</v>
      </c>
      <c r="Q19" s="179">
        <v>4900.7529430028226</v>
      </c>
      <c r="R19" s="358">
        <v>5167.0106235328676</v>
      </c>
      <c r="S19" s="463">
        <v>5260.7966790723294</v>
      </c>
      <c r="T19" s="179">
        <v>5594.9464598975137</v>
      </c>
      <c r="U19" s="179">
        <v>5894.2729653330498</v>
      </c>
      <c r="V19" s="174">
        <v>6335.4780822976136</v>
      </c>
      <c r="W19" s="174">
        <v>6422.3995386307834</v>
      </c>
      <c r="Y19" s="172">
        <v>1957.7785687870169</v>
      </c>
      <c r="Z19" s="297">
        <v>2478</v>
      </c>
      <c r="AA19" s="172">
        <v>2823.7073140583293</v>
      </c>
      <c r="AB19" s="173">
        <v>3364.8308420710709</v>
      </c>
      <c r="AC19" s="173">
        <v>3734.3419038004618</v>
      </c>
      <c r="AD19" s="173">
        <v>4636.2765682826275</v>
      </c>
      <c r="AE19" s="173">
        <v>5167.0106235328676</v>
      </c>
      <c r="AF19" s="358">
        <f t="shared" si="0"/>
        <v>6335.4780822976136</v>
      </c>
      <c r="AG19" s="419"/>
    </row>
    <row r="20" spans="2:33" x14ac:dyDescent="0.25">
      <c r="B20" s="137" t="s">
        <v>24</v>
      </c>
      <c r="C20" s="176">
        <v>91823.799999999988</v>
      </c>
      <c r="D20" s="176">
        <v>97512.800000000017</v>
      </c>
      <c r="E20" s="176">
        <v>101594.90000000001</v>
      </c>
      <c r="F20" s="176">
        <v>110203.8</v>
      </c>
      <c r="G20" s="176">
        <v>114998.2</v>
      </c>
      <c r="H20" s="176">
        <v>118879.79999999999</v>
      </c>
      <c r="I20" s="176">
        <v>125694.99999999999</v>
      </c>
      <c r="J20" s="176">
        <v>134105.30977825911</v>
      </c>
      <c r="K20" s="175">
        <v>143991.6</v>
      </c>
      <c r="L20" s="176">
        <v>150375.99999999997</v>
      </c>
      <c r="M20" s="176">
        <v>154497.1</v>
      </c>
      <c r="N20" s="177">
        <v>165194.53694089031</v>
      </c>
      <c r="O20" s="175">
        <v>169924.15302247199</v>
      </c>
      <c r="P20" s="176">
        <v>168851.206960187</v>
      </c>
      <c r="Q20" s="176">
        <v>178900.46835389701</v>
      </c>
      <c r="R20" s="177">
        <v>186184.74056931966</v>
      </c>
      <c r="S20" s="175">
        <f>SUM(S15:S19)</f>
        <v>192726.85694155272</v>
      </c>
      <c r="T20" s="176">
        <f>SUM(T15:T19)</f>
        <v>194410.40066779521</v>
      </c>
      <c r="U20" s="176">
        <f>SUM(U15:U19)</f>
        <v>202897.38112483607</v>
      </c>
      <c r="V20" s="177">
        <f>SUM(V15:V19)</f>
        <v>212125.0080746412</v>
      </c>
      <c r="W20" s="177">
        <f>SUM(W15:W19)</f>
        <v>217850.01068710812</v>
      </c>
      <c r="Y20" s="175">
        <v>56268.27771450131</v>
      </c>
      <c r="Z20" s="176">
        <v>76570.091109211833</v>
      </c>
      <c r="AA20" s="175">
        <v>89600.468571687903</v>
      </c>
      <c r="AB20" s="176">
        <v>110203.83140671226</v>
      </c>
      <c r="AC20" s="176">
        <v>134105.30977825899</v>
      </c>
      <c r="AD20" s="176">
        <v>165194.53694088999</v>
      </c>
      <c r="AE20" s="176">
        <v>186184.74056931966</v>
      </c>
      <c r="AF20" s="177">
        <f t="shared" si="0"/>
        <v>212125.0080746412</v>
      </c>
      <c r="AG20" s="417">
        <f>+POWER(AF20/AA20,0.2)-1</f>
        <v>0.18810908891598244</v>
      </c>
    </row>
    <row r="21" spans="2:33" x14ac:dyDescent="0.25">
      <c r="B21" s="180"/>
      <c r="C21" s="324"/>
      <c r="D21" s="324"/>
      <c r="E21" s="324"/>
      <c r="F21" s="324"/>
      <c r="G21" s="189"/>
      <c r="H21" s="189"/>
      <c r="I21" s="189"/>
      <c r="J21" s="178"/>
      <c r="K21" s="189"/>
      <c r="L21" s="167"/>
      <c r="N21" s="167"/>
    </row>
    <row r="22" spans="2:33" x14ac:dyDescent="0.25">
      <c r="C22" s="20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154"/>
      <c r="Y22" s="228"/>
    </row>
    <row r="23" spans="2:33" s="442" customFormat="1" x14ac:dyDescent="0.25">
      <c r="J23" s="443"/>
      <c r="M23" s="444"/>
      <c r="N23" s="444"/>
      <c r="O23" s="444"/>
      <c r="P23" s="444"/>
      <c r="Q23" s="445"/>
      <c r="R23" s="445"/>
      <c r="S23" s="445"/>
      <c r="T23" s="445"/>
      <c r="U23" s="445"/>
      <c r="V23" s="445"/>
      <c r="W23" s="445"/>
      <c r="X23" s="204"/>
    </row>
    <row r="24" spans="2:33" x14ac:dyDescent="0.25">
      <c r="S24" s="168"/>
      <c r="T24" s="168"/>
      <c r="U24" s="168"/>
      <c r="V24" s="168"/>
      <c r="W24" s="168"/>
    </row>
    <row r="25" spans="2:33" x14ac:dyDescent="0.25">
      <c r="S25" s="168"/>
      <c r="T25" s="168"/>
      <c r="U25" s="168"/>
      <c r="V25" s="168"/>
      <c r="W25" s="168"/>
    </row>
    <row r="26" spans="2:33" x14ac:dyDescent="0.25">
      <c r="S26" s="168"/>
      <c r="T26" s="168"/>
      <c r="U26" s="168"/>
      <c r="V26" s="168"/>
      <c r="W26" s="168"/>
    </row>
    <row r="27" spans="2:33" x14ac:dyDescent="0.25">
      <c r="S27" s="168"/>
      <c r="T27" s="168"/>
      <c r="U27" s="168"/>
      <c r="V27" s="168"/>
      <c r="W27" s="168"/>
    </row>
    <row r="28" spans="2:33" x14ac:dyDescent="0.25">
      <c r="T28" s="204"/>
      <c r="U28" s="204"/>
      <c r="V28" s="204"/>
      <c r="W28" s="204"/>
      <c r="AB28" s="204"/>
      <c r="AC28" s="204"/>
      <c r="AD28" s="204"/>
      <c r="AE28" s="204"/>
      <c r="AF28" s="204"/>
    </row>
  </sheetData>
  <hyperlinks>
    <hyperlink ref="A1" location="Index!A1" display="Index" xr:uid="{00000000-0004-0000-0200-000000000000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U83"/>
  <sheetViews>
    <sheetView showGridLines="0" zoomScale="80" zoomScaleNormal="8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W3" sqref="W3"/>
    </sheetView>
  </sheetViews>
  <sheetFormatPr defaultColWidth="9.140625" defaultRowHeight="15" outlineLevelCol="1" x14ac:dyDescent="0.25"/>
  <cols>
    <col min="1" max="1" width="6.42578125" style="113" bestFit="1" customWidth="1"/>
    <col min="2" max="2" width="51.140625" style="20" bestFit="1" customWidth="1"/>
    <col min="3" max="6" width="11.28515625" style="20" hidden="1" customWidth="1" outlineLevel="1"/>
    <col min="7" max="10" width="11.28515625" style="113" hidden="1" customWidth="1" outlineLevel="1"/>
    <col min="11" max="11" width="11.28515625" style="113" bestFit="1" customWidth="1" collapsed="1"/>
    <col min="12" max="19" width="11.28515625" style="113" bestFit="1" customWidth="1"/>
    <col min="20" max="23" width="11.28515625" style="113" customWidth="1"/>
    <col min="24" max="24" width="8.42578125" style="113" bestFit="1" customWidth="1"/>
    <col min="25" max="25" width="9.42578125" style="113" hidden="1" customWidth="1" outlineLevel="1"/>
    <col min="26" max="26" width="11.28515625" style="113" hidden="1" customWidth="1" outlineLevel="1"/>
    <col min="27" max="27" width="11.28515625" style="113" bestFit="1" customWidth="1" collapsed="1"/>
    <col min="28" max="31" width="11.28515625" style="113" bestFit="1" customWidth="1"/>
    <col min="32" max="32" width="11.28515625" style="113" customWidth="1"/>
    <col min="33" max="33" width="11.42578125" style="113" customWidth="1"/>
    <col min="34" max="35" width="12.140625" style="113" bestFit="1" customWidth="1"/>
    <col min="36" max="36" width="12.7109375" style="113" bestFit="1" customWidth="1"/>
    <col min="37" max="40" width="9.140625" style="113"/>
    <col min="41" max="41" width="11" style="113" bestFit="1" customWidth="1"/>
    <col min="42" max="16384" width="9.140625" style="113"/>
  </cols>
  <sheetData>
    <row r="1" spans="1:47" x14ac:dyDescent="0.25">
      <c r="A1" s="112" t="s">
        <v>0</v>
      </c>
      <c r="P1" s="154"/>
      <c r="Q1" s="154"/>
      <c r="R1" s="154"/>
      <c r="S1" s="154"/>
      <c r="T1" s="154"/>
      <c r="U1" s="20"/>
      <c r="V1" s="20"/>
      <c r="W1" s="154"/>
      <c r="Y1" s="204"/>
    </row>
    <row r="2" spans="1:47" x14ac:dyDescent="0.25">
      <c r="P2" s="154"/>
      <c r="Q2" s="427"/>
      <c r="R2" s="427"/>
      <c r="S2" s="420"/>
      <c r="T2" s="154"/>
      <c r="U2" s="228"/>
      <c r="V2" s="228"/>
      <c r="W2" s="228"/>
      <c r="X2" s="204"/>
      <c r="AD2" s="89"/>
      <c r="AE2" s="89"/>
      <c r="AF2" s="89"/>
      <c r="AG2" s="169"/>
    </row>
    <row r="3" spans="1:47" s="100" customFormat="1" x14ac:dyDescent="0.25">
      <c r="B3" s="111" t="s">
        <v>162</v>
      </c>
      <c r="C3" s="86" t="s">
        <v>178</v>
      </c>
      <c r="D3" s="86" t="s">
        <v>179</v>
      </c>
      <c r="E3" s="86" t="s">
        <v>180</v>
      </c>
      <c r="F3" s="86" t="s">
        <v>181</v>
      </c>
      <c r="G3" s="86" t="s">
        <v>108</v>
      </c>
      <c r="H3" s="86" t="s">
        <v>107</v>
      </c>
      <c r="I3" s="86" t="s">
        <v>106</v>
      </c>
      <c r="J3" s="86" t="s">
        <v>105</v>
      </c>
      <c r="K3" s="102" t="s">
        <v>1</v>
      </c>
      <c r="L3" s="86" t="s">
        <v>2</v>
      </c>
      <c r="M3" s="86" t="s">
        <v>3</v>
      </c>
      <c r="N3" s="101" t="s">
        <v>96</v>
      </c>
      <c r="O3" s="102" t="s">
        <v>97</v>
      </c>
      <c r="P3" s="86" t="s">
        <v>131</v>
      </c>
      <c r="Q3" s="86" t="s">
        <v>174</v>
      </c>
      <c r="R3" s="86" t="s">
        <v>238</v>
      </c>
      <c r="S3" s="102" t="s">
        <v>251</v>
      </c>
      <c r="T3" s="86" t="s">
        <v>271</v>
      </c>
      <c r="U3" s="86" t="str">
        <f>+'P&amp;L'!U4</f>
        <v>Q3FY26</v>
      </c>
      <c r="V3" s="101" t="str">
        <f>+'P&amp;L'!V4</f>
        <v>Q4FY26</v>
      </c>
      <c r="W3" s="1089" t="str">
        <f>+'P&amp;L'!W4</f>
        <v>Q1FY27</v>
      </c>
      <c r="Y3" s="106" t="s">
        <v>6</v>
      </c>
      <c r="Z3" s="106" t="s">
        <v>7</v>
      </c>
      <c r="AA3" s="108" t="s">
        <v>8</v>
      </c>
      <c r="AB3" s="85" t="s">
        <v>9</v>
      </c>
      <c r="AC3" s="85" t="s">
        <v>10</v>
      </c>
      <c r="AD3" s="85" t="s">
        <v>98</v>
      </c>
      <c r="AE3" s="85" t="s">
        <v>239</v>
      </c>
      <c r="AF3" s="107" t="s">
        <v>282</v>
      </c>
      <c r="AG3" s="113"/>
    </row>
    <row r="4" spans="1:47" x14ac:dyDescent="0.25">
      <c r="B4" s="78" t="s">
        <v>31</v>
      </c>
      <c r="C4" s="114">
        <v>96156.307752620516</v>
      </c>
      <c r="D4" s="114">
        <v>101481.26270398004</v>
      </c>
      <c r="E4" s="114">
        <v>106126.21410938998</v>
      </c>
      <c r="F4" s="114">
        <v>113502.11984455099</v>
      </c>
      <c r="G4" s="114">
        <v>118935.84828877085</v>
      </c>
      <c r="H4" s="114">
        <v>125436.78761321009</v>
      </c>
      <c r="I4" s="114">
        <v>130887.32661099223</v>
      </c>
      <c r="J4" s="114">
        <v>141666.61783625529</v>
      </c>
      <c r="K4" s="116">
        <v>146500.31116819009</v>
      </c>
      <c r="L4" s="114">
        <v>153194.65728326049</v>
      </c>
      <c r="M4" s="114">
        <v>160794.79122399099</v>
      </c>
      <c r="N4" s="115">
        <v>173126.46641333701</v>
      </c>
      <c r="O4" s="116">
        <v>178414.81821337951</v>
      </c>
      <c r="P4" s="114">
        <v>183956</v>
      </c>
      <c r="Q4" s="114">
        <v>192380.49527570899</v>
      </c>
      <c r="R4" s="114">
        <v>204201.76</v>
      </c>
      <c r="S4" s="116">
        <v>207397</v>
      </c>
      <c r="T4" s="114">
        <v>213566.49908184499</v>
      </c>
      <c r="U4" s="114">
        <v>222035.281715155</v>
      </c>
      <c r="V4" s="115">
        <v>234517.1</v>
      </c>
      <c r="W4" s="115">
        <v>239305.60000000001</v>
      </c>
      <c r="X4" s="228"/>
      <c r="Y4" s="116">
        <v>59416.107780759885</v>
      </c>
      <c r="Z4" s="114">
        <v>77960.916545987318</v>
      </c>
      <c r="AA4" s="116">
        <v>94542.930227910401</v>
      </c>
      <c r="AB4" s="114">
        <v>113502.11984455099</v>
      </c>
      <c r="AC4" s="114">
        <v>141666.617836255</v>
      </c>
      <c r="AD4" s="114">
        <v>173126.46641333599</v>
      </c>
      <c r="AE4" s="114">
        <v>204201.76</v>
      </c>
      <c r="AF4" s="115">
        <f>+V4</f>
        <v>234517.1</v>
      </c>
      <c r="AG4" s="169"/>
      <c r="AH4" s="204"/>
    </row>
    <row r="5" spans="1:47" x14ac:dyDescent="0.25">
      <c r="B5" s="79" t="s">
        <v>32</v>
      </c>
      <c r="C5" s="117">
        <v>4624.8999999999996</v>
      </c>
      <c r="D5" s="117">
        <v>9016.4580797199997</v>
      </c>
      <c r="E5" s="117">
        <v>9508.9941367400006</v>
      </c>
      <c r="F5" s="117">
        <v>12871.985130710002</v>
      </c>
      <c r="G5" s="117">
        <v>10936.29934292</v>
      </c>
      <c r="H5" s="117">
        <v>11467.41705515001</v>
      </c>
      <c r="I5" s="117">
        <v>12024.121092629986</v>
      </c>
      <c r="J5" s="117">
        <v>15817.573573759939</v>
      </c>
      <c r="K5" s="54">
        <v>10682.141673730001</v>
      </c>
      <c r="L5" s="8">
        <v>12584.580700729999</v>
      </c>
      <c r="M5" s="8">
        <v>13624.221644279904</v>
      </c>
      <c r="N5" s="376">
        <v>18931.210158225957</v>
      </c>
      <c r="O5" s="54">
        <v>12109.2</v>
      </c>
      <c r="P5" s="8">
        <v>12940.252185133999</v>
      </c>
      <c r="Q5" s="8">
        <v>15942.166247090001</v>
      </c>
      <c r="R5" s="8">
        <v>20238.441567776001</v>
      </c>
      <c r="S5" s="54">
        <v>11454</v>
      </c>
      <c r="T5" s="8">
        <v>15598.6</v>
      </c>
      <c r="U5" s="8">
        <v>17218.863541549999</v>
      </c>
      <c r="V5" s="376">
        <v>23481.32</v>
      </c>
      <c r="W5" s="376">
        <v>16139.16</v>
      </c>
      <c r="X5" s="228"/>
      <c r="Y5" s="119">
        <v>26723.699999999997</v>
      </c>
      <c r="Z5" s="117">
        <v>29303.9</v>
      </c>
      <c r="AA5" s="119">
        <v>26568.537617719005</v>
      </c>
      <c r="AB5" s="117">
        <v>36022.353589999999</v>
      </c>
      <c r="AC5" s="117">
        <v>50245.411064459928</v>
      </c>
      <c r="AD5" s="8">
        <v>55822.2</v>
      </c>
      <c r="AE5" s="8">
        <v>61230.06</v>
      </c>
      <c r="AF5" s="376">
        <v>67750.880000000005</v>
      </c>
      <c r="AG5" s="169"/>
      <c r="AH5" s="204"/>
      <c r="AI5" s="170"/>
      <c r="AJ5" s="204"/>
    </row>
    <row r="6" spans="1:47" x14ac:dyDescent="0.25">
      <c r="B6" s="155" t="s">
        <v>137</v>
      </c>
      <c r="C6" s="342"/>
      <c r="D6" s="342"/>
      <c r="E6" s="342"/>
      <c r="F6" s="342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2"/>
      <c r="T6" s="253"/>
      <c r="U6" s="253"/>
      <c r="V6" s="254"/>
      <c r="W6" s="254"/>
      <c r="X6" s="154"/>
      <c r="Y6" s="120"/>
      <c r="Z6" s="121"/>
      <c r="AA6" s="120"/>
      <c r="AB6" s="121"/>
      <c r="AC6" s="121"/>
      <c r="AD6" s="121"/>
      <c r="AE6" s="121"/>
      <c r="AF6" s="122"/>
    </row>
    <row r="7" spans="1:47" x14ac:dyDescent="0.25">
      <c r="B7" s="123" t="s">
        <v>129</v>
      </c>
      <c r="C7" s="124">
        <v>0.72692514126495889</v>
      </c>
      <c r="D7" s="124">
        <v>0.72076201982409405</v>
      </c>
      <c r="E7" s="124">
        <v>0.71622108478771251</v>
      </c>
      <c r="F7" s="124">
        <v>0.72084544210174795</v>
      </c>
      <c r="G7" s="124">
        <v>0.71099999999999997</v>
      </c>
      <c r="H7" s="124">
        <v>0.70879999999999999</v>
      </c>
      <c r="I7" s="124">
        <v>0.70109999999999995</v>
      </c>
      <c r="J7" s="124">
        <v>0.69910000000000005</v>
      </c>
      <c r="K7" s="147">
        <v>0.69799999999999995</v>
      </c>
      <c r="L7" s="124">
        <v>0.69699999999999995</v>
      </c>
      <c r="M7" s="124">
        <v>0.69299999999999995</v>
      </c>
      <c r="N7" s="125">
        <v>0.69299999999999995</v>
      </c>
      <c r="O7" s="147">
        <v>0.69199999999999995</v>
      </c>
      <c r="P7" s="124">
        <v>0.69</v>
      </c>
      <c r="Q7" s="124">
        <v>0.68608960168096667</v>
      </c>
      <c r="R7" s="124">
        <v>0.67970122685040646</v>
      </c>
      <c r="S7" s="147">
        <v>0.67459992188893758</v>
      </c>
      <c r="T7" s="124">
        <v>0.66914898493672859</v>
      </c>
      <c r="U7" s="124">
        <v>0.66179656360483707</v>
      </c>
      <c r="V7" s="125">
        <v>0.65008265921760078</v>
      </c>
      <c r="W7" s="125">
        <v>0.64278102977949536</v>
      </c>
      <c r="Y7" s="126">
        <v>0.755</v>
      </c>
      <c r="Z7" s="127">
        <v>0.73499999999999999</v>
      </c>
      <c r="AA7" s="126">
        <v>0.73499999999999999</v>
      </c>
      <c r="AB7" s="127">
        <v>0.72099999999999997</v>
      </c>
      <c r="AC7" s="127">
        <v>0.69910000000000005</v>
      </c>
      <c r="AD7" s="127">
        <v>0.69299999999999995</v>
      </c>
      <c r="AE7" s="127">
        <v>0.67970122685040646</v>
      </c>
      <c r="AF7" s="128">
        <v>0.65008265921760078</v>
      </c>
      <c r="AG7" s="170"/>
      <c r="AH7" s="170"/>
    </row>
    <row r="8" spans="1:47" x14ac:dyDescent="0.25">
      <c r="B8" s="129" t="s">
        <v>143</v>
      </c>
      <c r="C8" s="127">
        <v>0.27307485873504111</v>
      </c>
      <c r="D8" s="127">
        <v>0.27923798017590606</v>
      </c>
      <c r="E8" s="127">
        <v>0.28377891521228743</v>
      </c>
      <c r="F8" s="127">
        <v>0.27915455789825211</v>
      </c>
      <c r="G8" s="127">
        <v>0.28900000000000009</v>
      </c>
      <c r="H8" s="127">
        <v>0.29120000000000007</v>
      </c>
      <c r="I8" s="127">
        <v>0.29890000000000005</v>
      </c>
      <c r="J8" s="127">
        <v>0.30089999999999995</v>
      </c>
      <c r="K8" s="126">
        <v>0.30200000000000005</v>
      </c>
      <c r="L8" s="127">
        <v>0.30300000000000005</v>
      </c>
      <c r="M8" s="127">
        <v>0.30700000000000005</v>
      </c>
      <c r="N8" s="128">
        <v>0.30700000000000005</v>
      </c>
      <c r="O8" s="126">
        <v>0.308</v>
      </c>
      <c r="P8" s="127">
        <v>0.31</v>
      </c>
      <c r="Q8" s="127">
        <v>0.31391039831903333</v>
      </c>
      <c r="R8" s="127">
        <v>0.32029877314959349</v>
      </c>
      <c r="S8" s="126">
        <v>0.32540489978157827</v>
      </c>
      <c r="T8" s="127">
        <v>0.33085101506327141</v>
      </c>
      <c r="U8" s="127">
        <v>0.33820343639516293</v>
      </c>
      <c r="V8" s="128">
        <f>+SUM(V9:V10)</f>
        <v>0.34991734078239922</v>
      </c>
      <c r="W8" s="128">
        <v>0.35721897022050464</v>
      </c>
      <c r="X8" s="169"/>
      <c r="Y8" s="126">
        <v>0.245</v>
      </c>
      <c r="Z8" s="127">
        <v>0.26500000000000001</v>
      </c>
      <c r="AA8" s="126">
        <v>0.26500000000000001</v>
      </c>
      <c r="AB8" s="127">
        <v>0.27900000000000003</v>
      </c>
      <c r="AC8" s="127">
        <v>0.30089999999999995</v>
      </c>
      <c r="AD8" s="127">
        <v>0.30700000000000005</v>
      </c>
      <c r="AE8" s="127">
        <v>0.32029877314959349</v>
      </c>
      <c r="AF8" s="128">
        <f>+SUM(AF9:AF10)</f>
        <v>0.34991734078239922</v>
      </c>
      <c r="AG8" s="170"/>
    </row>
    <row r="9" spans="1:47" s="130" customFormat="1" x14ac:dyDescent="0.25">
      <c r="B9" s="398" t="s">
        <v>158</v>
      </c>
      <c r="C9" s="399">
        <v>4.6565371850064464E-2</v>
      </c>
      <c r="D9" s="399">
        <v>5.2769047623014688E-2</v>
      </c>
      <c r="E9" s="399">
        <v>6.6674364128135877E-2</v>
      </c>
      <c r="F9" s="399">
        <v>6.9201782176820423E-2</v>
      </c>
      <c r="G9" s="359">
        <v>7.6100000000000001E-2</v>
      </c>
      <c r="H9" s="359">
        <v>9.4299999999999995E-2</v>
      </c>
      <c r="I9" s="359">
        <v>0.1</v>
      </c>
      <c r="J9" s="359">
        <v>0.1041</v>
      </c>
      <c r="K9" s="403">
        <v>0.104</v>
      </c>
      <c r="L9" s="359">
        <v>0.12</v>
      </c>
      <c r="M9" s="359">
        <v>0.13200000000000001</v>
      </c>
      <c r="N9" s="400">
        <v>0.17</v>
      </c>
      <c r="O9" s="403">
        <v>0.17299999999999999</v>
      </c>
      <c r="P9" s="359">
        <v>0.17899999999999999</v>
      </c>
      <c r="Q9" s="359">
        <v>0.18404745695075322</v>
      </c>
      <c r="R9" s="359">
        <v>0.192</v>
      </c>
      <c r="S9" s="403">
        <v>0.19752937602761853</v>
      </c>
      <c r="T9" s="359">
        <v>0.20396029007736199</v>
      </c>
      <c r="U9" s="359">
        <v>0.21202513117301325</v>
      </c>
      <c r="V9" s="400">
        <v>0.2242318363991368</v>
      </c>
      <c r="W9" s="400">
        <v>0.23101044068305787</v>
      </c>
      <c r="Y9" s="401">
        <v>0</v>
      </c>
      <c r="Z9" s="402">
        <v>0</v>
      </c>
      <c r="AA9" s="569">
        <v>0</v>
      </c>
      <c r="AB9" s="570">
        <v>0</v>
      </c>
      <c r="AC9" s="359">
        <v>0.1041</v>
      </c>
      <c r="AD9" s="359">
        <v>0.17</v>
      </c>
      <c r="AE9" s="359">
        <v>0.192</v>
      </c>
      <c r="AF9" s="400">
        <v>0.2242318363991368</v>
      </c>
      <c r="AG9" s="170"/>
    </row>
    <row r="10" spans="1:47" s="130" customFormat="1" x14ac:dyDescent="0.25">
      <c r="B10" s="398" t="s">
        <v>159</v>
      </c>
      <c r="C10" s="399">
        <v>0.22650948688497716</v>
      </c>
      <c r="D10" s="399">
        <v>0.22646893255289158</v>
      </c>
      <c r="E10" s="399">
        <v>0.21709659242844229</v>
      </c>
      <c r="F10" s="399">
        <v>0.2099397908273887</v>
      </c>
      <c r="G10" s="359">
        <v>0.21290000000000009</v>
      </c>
      <c r="H10" s="359">
        <v>0.19690000000000007</v>
      </c>
      <c r="I10" s="359">
        <v>0.19890000000000008</v>
      </c>
      <c r="J10" s="359">
        <v>0.19679999999999997</v>
      </c>
      <c r="K10" s="403">
        <v>0.19800000000000006</v>
      </c>
      <c r="L10" s="359">
        <v>0.18300000000000005</v>
      </c>
      <c r="M10" s="359">
        <v>0.17500000000000004</v>
      </c>
      <c r="N10" s="400">
        <v>0.13700000000000001</v>
      </c>
      <c r="O10" s="403">
        <v>0.13500000000000001</v>
      </c>
      <c r="P10" s="359">
        <v>0.13100000000000001</v>
      </c>
      <c r="Q10" s="359">
        <v>0.12986294136828039</v>
      </c>
      <c r="R10" s="359">
        <v>0.128</v>
      </c>
      <c r="S10" s="403">
        <v>0.12787552375395977</v>
      </c>
      <c r="T10" s="359">
        <v>0.12689072498590942</v>
      </c>
      <c r="U10" s="359">
        <v>0.12617830522214965</v>
      </c>
      <c r="V10" s="400">
        <v>0.12568550438326245</v>
      </c>
      <c r="W10" s="400">
        <v>0.12620857225947985</v>
      </c>
      <c r="Y10" s="403">
        <v>0.245</v>
      </c>
      <c r="Z10" s="359">
        <v>0.26500000000000001</v>
      </c>
      <c r="AA10" s="403">
        <v>0.26500000000000001</v>
      </c>
      <c r="AB10" s="359">
        <v>0.27900000000000003</v>
      </c>
      <c r="AC10" s="359">
        <v>0.19679999999999997</v>
      </c>
      <c r="AD10" s="359">
        <v>0.13700000000000001</v>
      </c>
      <c r="AE10" s="359">
        <v>0.128</v>
      </c>
      <c r="AF10" s="400">
        <v>0.12568550438326245</v>
      </c>
      <c r="AG10" s="170"/>
    </row>
    <row r="11" spans="1:47" x14ac:dyDescent="0.25">
      <c r="B11" s="155" t="s">
        <v>138</v>
      </c>
      <c r="C11" s="342"/>
      <c r="D11" s="342"/>
      <c r="E11" s="342"/>
      <c r="F11" s="342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2"/>
      <c r="T11" s="253"/>
      <c r="U11" s="253"/>
      <c r="V11" s="254"/>
      <c r="W11" s="254"/>
      <c r="Y11" s="120"/>
      <c r="Z11" s="121"/>
      <c r="AA11" s="120"/>
      <c r="AB11" s="121"/>
      <c r="AC11" s="121"/>
      <c r="AD11" s="121"/>
      <c r="AE11" s="121"/>
      <c r="AF11" s="122"/>
      <c r="AG11" s="170"/>
      <c r="AH11" s="170"/>
      <c r="AI11" s="170"/>
    </row>
    <row r="12" spans="1:47" x14ac:dyDescent="0.25">
      <c r="B12" s="404" t="s">
        <v>129</v>
      </c>
      <c r="C12" s="138">
        <v>0.57536575292084446</v>
      </c>
      <c r="D12" s="138">
        <v>0.64963400599372334</v>
      </c>
      <c r="E12" s="138">
        <v>0.66739792866746006</v>
      </c>
      <c r="F12" s="138">
        <v>0.75400901401132292</v>
      </c>
      <c r="G12" s="138">
        <v>0.62519999999999998</v>
      </c>
      <c r="H12" s="138">
        <v>0.65252692155352299</v>
      </c>
      <c r="I12" s="138">
        <v>0.65176670964847239</v>
      </c>
      <c r="J12" s="138">
        <v>0.66290000000000004</v>
      </c>
      <c r="K12" s="464">
        <v>0.66779999999999995</v>
      </c>
      <c r="L12" s="138">
        <v>0.66863111247393159</v>
      </c>
      <c r="M12" s="138">
        <v>0.65899608186520398</v>
      </c>
      <c r="N12" s="322">
        <v>0.66449999999999998</v>
      </c>
      <c r="O12" s="464">
        <v>0.66600000000000004</v>
      </c>
      <c r="P12" s="138">
        <v>0.65600000000000003</v>
      </c>
      <c r="Q12" s="138">
        <v>0.6476674782176558</v>
      </c>
      <c r="R12" s="138">
        <v>0.61454745563372837</v>
      </c>
      <c r="S12" s="464">
        <v>0.56774925790116992</v>
      </c>
      <c r="T12" s="138">
        <v>0.59517088891211012</v>
      </c>
      <c r="U12" s="138">
        <v>0.56747703699057084</v>
      </c>
      <c r="V12" s="322">
        <v>0.54898061986153934</v>
      </c>
      <c r="W12" s="322">
        <v>0.55572629289646602</v>
      </c>
      <c r="X12" s="420"/>
      <c r="Y12" s="150">
        <v>0.72299999999999998</v>
      </c>
      <c r="Z12" s="144">
        <v>0.70099999999999996</v>
      </c>
      <c r="AA12" s="150">
        <v>0.73199999999999998</v>
      </c>
      <c r="AB12" s="144">
        <v>0.68200000000000005</v>
      </c>
      <c r="AC12" s="144">
        <v>0.66290000000000004</v>
      </c>
      <c r="AD12" s="144">
        <v>0.66449999999999998</v>
      </c>
      <c r="AE12" s="144">
        <v>0.63670000000000004</v>
      </c>
      <c r="AF12" s="148">
        <v>0.5675045386783959</v>
      </c>
      <c r="AG12" s="170"/>
      <c r="AH12" s="170"/>
      <c r="AI12" s="170"/>
      <c r="AJ12" s="170"/>
      <c r="AO12" s="170"/>
      <c r="AQ12" s="170"/>
      <c r="AT12" s="170">
        <f t="shared" ref="AT12:AT15" si="0">AF$5*AF12</f>
        <v>38448.931899455361</v>
      </c>
      <c r="AU12" s="170"/>
    </row>
    <row r="13" spans="1:47" x14ac:dyDescent="0.25">
      <c r="B13" s="406" t="s">
        <v>143</v>
      </c>
      <c r="C13" s="144">
        <v>0.42463424707915559</v>
      </c>
      <c r="D13" s="144">
        <v>0.35036599400627655</v>
      </c>
      <c r="E13" s="144">
        <v>0.33260207133253994</v>
      </c>
      <c r="F13" s="144">
        <v>0.24599098598867711</v>
      </c>
      <c r="G13" s="144">
        <v>0.37480000000000002</v>
      </c>
      <c r="H13" s="144">
        <v>0.34747307844647701</v>
      </c>
      <c r="I13" s="144">
        <v>0.34823329035152772</v>
      </c>
      <c r="J13" s="144">
        <v>0.33709999999999996</v>
      </c>
      <c r="K13" s="150">
        <v>0.33220000000000011</v>
      </c>
      <c r="L13" s="144">
        <v>0.3313688875260683</v>
      </c>
      <c r="M13" s="144">
        <v>0.34100391813479597</v>
      </c>
      <c r="N13" s="148">
        <v>0.33550000000000002</v>
      </c>
      <c r="O13" s="150">
        <v>0.33399999999999996</v>
      </c>
      <c r="P13" s="144">
        <v>0.34399999999999997</v>
      </c>
      <c r="Q13" s="144">
        <f>+SUM(Q14:Q15)</f>
        <v>0.35233252178234425</v>
      </c>
      <c r="R13" s="144">
        <v>0.38545254436627163</v>
      </c>
      <c r="S13" s="150">
        <v>0.43233804784354812</v>
      </c>
      <c r="T13" s="144">
        <v>0.40482911108788983</v>
      </c>
      <c r="U13" s="144">
        <v>0.43252296300942905</v>
      </c>
      <c r="V13" s="148">
        <v>0.45089572688770685</v>
      </c>
      <c r="W13" s="148">
        <f>+SUM(W14:W15)</f>
        <v>0.44427370710353398</v>
      </c>
      <c r="X13" s="204"/>
      <c r="Y13" s="150">
        <v>0.27700000000000002</v>
      </c>
      <c r="Z13" s="144">
        <v>0.29900000000000004</v>
      </c>
      <c r="AA13" s="150">
        <v>0.26800000000000002</v>
      </c>
      <c r="AB13" s="144">
        <v>0.31799999999999995</v>
      </c>
      <c r="AC13" s="144">
        <v>0.33709999999999996</v>
      </c>
      <c r="AD13" s="144">
        <v>0.33550000000000002</v>
      </c>
      <c r="AE13" s="144">
        <v>0.36330000000000001</v>
      </c>
      <c r="AF13" s="148">
        <v>0.4324954613216041</v>
      </c>
      <c r="AG13" s="170"/>
      <c r="AH13" s="170"/>
      <c r="AI13" s="170"/>
      <c r="AJ13" s="170"/>
      <c r="AO13" s="170"/>
      <c r="AQ13" s="170"/>
      <c r="AT13" s="170">
        <f t="shared" si="0"/>
        <v>29301.948100544643</v>
      </c>
      <c r="AU13" s="170"/>
    </row>
    <row r="14" spans="1:47" x14ac:dyDescent="0.25">
      <c r="B14" s="398" t="s">
        <v>158</v>
      </c>
      <c r="C14" s="399">
        <v>0.15008177414324847</v>
      </c>
      <c r="D14" s="399">
        <v>0.11540364828185644</v>
      </c>
      <c r="E14" s="399">
        <v>0.12773503721331714</v>
      </c>
      <c r="F14" s="399">
        <v>9.1523549479387012E-2</v>
      </c>
      <c r="G14" s="359">
        <v>0.14249999999999999</v>
      </c>
      <c r="H14" s="359">
        <v>0.13789734107224405</v>
      </c>
      <c r="I14" s="359">
        <v>0.14243404775970814</v>
      </c>
      <c r="J14" s="359">
        <v>0.1411</v>
      </c>
      <c r="K14" s="403">
        <v>0.1114</v>
      </c>
      <c r="L14" s="359">
        <v>0.12605415930540226</v>
      </c>
      <c r="M14" s="359">
        <v>0.18574105028391921</v>
      </c>
      <c r="N14" s="400">
        <v>0.24629999999999999</v>
      </c>
      <c r="O14" s="403">
        <v>0.22</v>
      </c>
      <c r="P14" s="359">
        <v>0.23</v>
      </c>
      <c r="Q14" s="359">
        <v>0.23789487427020908</v>
      </c>
      <c r="R14" s="359">
        <v>0.27090676869522784</v>
      </c>
      <c r="S14" s="403">
        <v>0.31246726034573075</v>
      </c>
      <c r="T14" s="359">
        <v>0.29332123024318757</v>
      </c>
      <c r="U14" s="359">
        <v>0.31420558733160925</v>
      </c>
      <c r="V14" s="400">
        <v>0.33346926114159858</v>
      </c>
      <c r="W14" s="400">
        <v>0.31709848412091096</v>
      </c>
      <c r="X14" s="420"/>
      <c r="Y14" s="401">
        <v>0</v>
      </c>
      <c r="Z14" s="402">
        <v>0</v>
      </c>
      <c r="AA14" s="401">
        <v>0</v>
      </c>
      <c r="AB14" s="402">
        <v>0</v>
      </c>
      <c r="AC14" s="359">
        <v>0.1411</v>
      </c>
      <c r="AD14" s="359">
        <v>0.24629999999999999</v>
      </c>
      <c r="AE14" s="359">
        <v>0.24879999999999999</v>
      </c>
      <c r="AF14" s="400">
        <v>0.31578869684580302</v>
      </c>
      <c r="AG14" s="170"/>
      <c r="AH14" s="170"/>
      <c r="AI14" s="170"/>
      <c r="AJ14" s="170"/>
      <c r="AO14" s="170"/>
      <c r="AQ14" s="170"/>
      <c r="AT14" s="170">
        <f t="shared" si="0"/>
        <v>21394.962105356379</v>
      </c>
      <c r="AU14" s="170"/>
    </row>
    <row r="15" spans="1:47" x14ac:dyDescent="0.25">
      <c r="B15" s="398" t="s">
        <v>159</v>
      </c>
      <c r="C15" s="399">
        <v>0.27455247293590718</v>
      </c>
      <c r="D15" s="399">
        <v>0.23496234574191016</v>
      </c>
      <c r="E15" s="399">
        <v>0.20486703411922616</v>
      </c>
      <c r="F15" s="399">
        <v>0.15446743650929223</v>
      </c>
      <c r="G15" s="359">
        <v>0.23230000000000006</v>
      </c>
      <c r="H15" s="359">
        <v>0.20957573737423299</v>
      </c>
      <c r="I15" s="359">
        <v>0.20579924259181956</v>
      </c>
      <c r="J15" s="359">
        <v>0.19599999999999995</v>
      </c>
      <c r="K15" s="403">
        <v>0.22080000000000011</v>
      </c>
      <c r="L15" s="359">
        <v>0.20531472822066607</v>
      </c>
      <c r="M15" s="359">
        <v>0.15526286785087676</v>
      </c>
      <c r="N15" s="400">
        <v>8.9200000000000057E-2</v>
      </c>
      <c r="O15" s="403">
        <v>0.11399999999999999</v>
      </c>
      <c r="P15" s="359">
        <v>0.11399999999999999</v>
      </c>
      <c r="Q15" s="359">
        <v>0.11443764751213516</v>
      </c>
      <c r="R15" s="359">
        <v>0.11454577567104378</v>
      </c>
      <c r="S15" s="403">
        <v>0.11987078749781736</v>
      </c>
      <c r="T15" s="359">
        <v>0.11150788084470226</v>
      </c>
      <c r="U15" s="359">
        <v>0.1181300866080648</v>
      </c>
      <c r="V15" s="400">
        <v>0.1175638049133669</v>
      </c>
      <c r="W15" s="400">
        <v>0.12717522298262302</v>
      </c>
      <c r="X15" s="420"/>
      <c r="Y15" s="403">
        <v>0.27700000000000002</v>
      </c>
      <c r="Z15" s="359">
        <v>0.29900000000000004</v>
      </c>
      <c r="AA15" s="403">
        <v>0.26800000000000002</v>
      </c>
      <c r="AB15" s="359">
        <v>0.31799999999999995</v>
      </c>
      <c r="AC15" s="359">
        <v>0.19599999999999995</v>
      </c>
      <c r="AD15" s="359">
        <v>8.9200000000000057E-2</v>
      </c>
      <c r="AE15" s="359">
        <v>0.1145</v>
      </c>
      <c r="AF15" s="400">
        <v>0.1167067644758011</v>
      </c>
      <c r="AG15" s="170"/>
      <c r="AH15" s="170"/>
      <c r="AI15" s="170"/>
      <c r="AJ15" s="170"/>
      <c r="AO15" s="170"/>
      <c r="AQ15" s="170"/>
      <c r="AT15" s="170">
        <f t="shared" si="0"/>
        <v>7906.9859951882636</v>
      </c>
      <c r="AU15" s="170"/>
    </row>
    <row r="16" spans="1:47" x14ac:dyDescent="0.25">
      <c r="B16" s="155" t="s">
        <v>144</v>
      </c>
      <c r="C16" s="342"/>
      <c r="D16" s="342"/>
      <c r="E16" s="342"/>
      <c r="F16" s="342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2"/>
      <c r="T16" s="253"/>
      <c r="U16" s="253"/>
      <c r="V16" s="254"/>
      <c r="W16" s="254"/>
      <c r="Y16" s="120"/>
      <c r="Z16" s="121"/>
      <c r="AA16" s="120"/>
      <c r="AB16" s="121"/>
      <c r="AC16" s="121"/>
      <c r="AD16" s="121"/>
      <c r="AE16" s="121"/>
      <c r="AF16" s="122"/>
    </row>
    <row r="17" spans="2:32" x14ac:dyDescent="0.25">
      <c r="B17" s="392" t="s">
        <v>139</v>
      </c>
      <c r="C17" s="393">
        <v>8.4320411822162402</v>
      </c>
      <c r="D17" s="393">
        <v>8.5037978237654404</v>
      </c>
      <c r="E17" s="393">
        <v>8.5752600000000001</v>
      </c>
      <c r="F17" s="393">
        <v>8.6403808643270601</v>
      </c>
      <c r="G17" s="394">
        <v>8.6396447318148901</v>
      </c>
      <c r="H17" s="394">
        <v>8.6940490944520796</v>
      </c>
      <c r="I17" s="394">
        <v>8.7505478555002529</v>
      </c>
      <c r="J17" s="394">
        <v>8.8972974833336007</v>
      </c>
      <c r="K17" s="397">
        <v>8.9</v>
      </c>
      <c r="L17" s="394">
        <v>9.0231576384308401</v>
      </c>
      <c r="M17" s="394">
        <v>9.1216619667095795</v>
      </c>
      <c r="N17" s="395">
        <v>9.2932918572560403</v>
      </c>
      <c r="O17" s="397">
        <v>9.3429013862106398</v>
      </c>
      <c r="P17" s="394">
        <v>9.4230754568056998</v>
      </c>
      <c r="Q17" s="394">
        <v>9.530318516585</v>
      </c>
      <c r="R17" s="394">
        <v>9.68</v>
      </c>
      <c r="S17" s="397">
        <v>9.6999999999999993</v>
      </c>
      <c r="T17" s="394">
        <v>9.8000000000000007</v>
      </c>
      <c r="U17" s="394">
        <v>10</v>
      </c>
      <c r="V17" s="395">
        <v>10.199999999999999</v>
      </c>
      <c r="W17" s="395">
        <v>10.3</v>
      </c>
      <c r="X17" s="396"/>
      <c r="Y17" s="397">
        <v>8.5940000000000012</v>
      </c>
      <c r="Z17" s="394">
        <v>8.3989999999999991</v>
      </c>
      <c r="AA17" s="397">
        <v>8.4904710948435795</v>
      </c>
      <c r="AB17" s="394">
        <v>8.6403808643270601</v>
      </c>
      <c r="AC17" s="394">
        <v>8.8972974833336007</v>
      </c>
      <c r="AD17" s="394">
        <v>9.2932918572560403</v>
      </c>
      <c r="AE17" s="394">
        <v>9.68</v>
      </c>
      <c r="AF17" s="395">
        <v>10.199999999999999</v>
      </c>
    </row>
    <row r="18" spans="2:32" x14ac:dyDescent="0.25">
      <c r="B18" s="132" t="s">
        <v>129</v>
      </c>
      <c r="C18" s="341">
        <v>9.2714282011518829</v>
      </c>
      <c r="D18" s="341">
        <v>9.3175774922384278</v>
      </c>
      <c r="E18" s="341">
        <v>9.3431517679711575</v>
      </c>
      <c r="F18" s="341">
        <v>9.3768744340006478</v>
      </c>
      <c r="G18" s="133">
        <v>9.4</v>
      </c>
      <c r="H18" s="133">
        <v>9.4</v>
      </c>
      <c r="I18" s="133">
        <v>9.5</v>
      </c>
      <c r="J18" s="133">
        <v>9.6999999999999993</v>
      </c>
      <c r="K18" s="136">
        <v>9.6999999999999993</v>
      </c>
      <c r="L18" s="133">
        <v>9.9</v>
      </c>
      <c r="M18" s="133">
        <v>10</v>
      </c>
      <c r="N18" s="134">
        <v>10.199999999999999</v>
      </c>
      <c r="O18" s="136">
        <v>10.3</v>
      </c>
      <c r="P18" s="133">
        <v>10.4</v>
      </c>
      <c r="Q18" s="133">
        <v>10.5394996379069</v>
      </c>
      <c r="R18" s="133">
        <v>10.705</v>
      </c>
      <c r="S18" s="136">
        <v>10.7</v>
      </c>
      <c r="T18" s="133">
        <v>10.8</v>
      </c>
      <c r="U18" s="133">
        <v>10.9</v>
      </c>
      <c r="V18" s="134">
        <v>11.14</v>
      </c>
      <c r="W18" s="134">
        <v>11.2</v>
      </c>
      <c r="X18" s="135"/>
      <c r="Y18" s="136">
        <v>8.99</v>
      </c>
      <c r="Z18" s="133">
        <v>9.16</v>
      </c>
      <c r="AA18" s="136">
        <v>9.3000000000000007</v>
      </c>
      <c r="AB18" s="133">
        <v>9.3800000000000008</v>
      </c>
      <c r="AC18" s="133">
        <v>9.68</v>
      </c>
      <c r="AD18" s="133">
        <v>10.220000000000001</v>
      </c>
      <c r="AE18" s="133">
        <v>10.705</v>
      </c>
      <c r="AF18" s="134">
        <v>11.14</v>
      </c>
    </row>
    <row r="19" spans="2:32" x14ac:dyDescent="0.25">
      <c r="B19" s="132" t="s">
        <v>143</v>
      </c>
      <c r="C19" s="341">
        <v>6.7172087882078033</v>
      </c>
      <c r="D19" s="341">
        <v>6.8649397637006881</v>
      </c>
      <c r="E19" s="341">
        <v>7.0278945911922843</v>
      </c>
      <c r="F19" s="341">
        <v>7.1021082662380204</v>
      </c>
      <c r="G19" s="133">
        <v>7.2</v>
      </c>
      <c r="H19" s="133">
        <v>7.3</v>
      </c>
      <c r="I19" s="133">
        <v>7.3</v>
      </c>
      <c r="J19" s="133">
        <v>7.4</v>
      </c>
      <c r="K19" s="136">
        <v>7.4</v>
      </c>
      <c r="L19" s="133">
        <v>7.4</v>
      </c>
      <c r="M19" s="133">
        <v>7.5</v>
      </c>
      <c r="N19" s="134">
        <v>7.6</v>
      </c>
      <c r="O19" s="465">
        <v>7.7</v>
      </c>
      <c r="P19" s="299">
        <v>7.7</v>
      </c>
      <c r="Q19" s="299">
        <v>7.81873556567888</v>
      </c>
      <c r="R19" s="299">
        <v>7.9859999999999998</v>
      </c>
      <c r="S19" s="465">
        <v>8.1</v>
      </c>
      <c r="T19" s="299">
        <v>8.1999999999999993</v>
      </c>
      <c r="U19" s="299">
        <v>8.4326842873596881</v>
      </c>
      <c r="V19" s="426">
        <v>8.8000000000000007</v>
      </c>
      <c r="W19" s="426">
        <v>8.9</v>
      </c>
      <c r="X19" s="135"/>
      <c r="Y19" s="136">
        <v>7.34</v>
      </c>
      <c r="Z19" s="133">
        <v>6.73</v>
      </c>
      <c r="AA19" s="136">
        <v>6.75</v>
      </c>
      <c r="AB19" s="133">
        <v>7.1</v>
      </c>
      <c r="AC19" s="133">
        <v>7.4</v>
      </c>
      <c r="AD19" s="133">
        <v>7.64</v>
      </c>
      <c r="AE19" s="133">
        <v>7.9859999999999998</v>
      </c>
      <c r="AF19" s="134">
        <v>8.8000000000000007</v>
      </c>
    </row>
    <row r="20" spans="2:32" s="130" customFormat="1" x14ac:dyDescent="0.25">
      <c r="B20" s="398" t="s">
        <v>158</v>
      </c>
      <c r="C20" s="407">
        <v>8.6565359217577704</v>
      </c>
      <c r="D20" s="407">
        <v>8.4699752800936103</v>
      </c>
      <c r="E20" s="407">
        <v>7.8734387763412403</v>
      </c>
      <c r="F20" s="407">
        <v>7.9978219001580371</v>
      </c>
      <c r="G20" s="360">
        <v>7.88</v>
      </c>
      <c r="H20" s="360">
        <v>7.86</v>
      </c>
      <c r="I20" s="360">
        <v>7.86</v>
      </c>
      <c r="J20" s="360">
        <v>7.93</v>
      </c>
      <c r="K20" s="410">
        <v>7.8</v>
      </c>
      <c r="L20" s="360">
        <v>7.9</v>
      </c>
      <c r="M20" s="360">
        <v>8.1</v>
      </c>
      <c r="N20" s="408">
        <v>8.5</v>
      </c>
      <c r="O20" s="410">
        <v>8.5</v>
      </c>
      <c r="P20" s="360">
        <v>8.1999999999999993</v>
      </c>
      <c r="Q20" s="360">
        <v>8.2828277265407699</v>
      </c>
      <c r="R20" s="360">
        <v>8.43</v>
      </c>
      <c r="S20" s="410">
        <v>8.5</v>
      </c>
      <c r="T20" s="360">
        <v>8.6999999999999993</v>
      </c>
      <c r="U20" s="360">
        <v>8.9</v>
      </c>
      <c r="V20" s="408">
        <v>9.39</v>
      </c>
      <c r="W20" s="408">
        <v>9.5299999999999994</v>
      </c>
      <c r="X20" s="409"/>
      <c r="Y20" s="410">
        <v>0</v>
      </c>
      <c r="Z20" s="360">
        <v>0</v>
      </c>
      <c r="AA20" s="410">
        <v>0</v>
      </c>
      <c r="AB20" s="360">
        <v>0</v>
      </c>
      <c r="AC20" s="360">
        <v>7.93</v>
      </c>
      <c r="AD20" s="360">
        <v>8.51</v>
      </c>
      <c r="AE20" s="360">
        <v>8.43</v>
      </c>
      <c r="AF20" s="408">
        <v>9.39</v>
      </c>
    </row>
    <row r="21" spans="2:32" s="130" customFormat="1" x14ac:dyDescent="0.25">
      <c r="B21" s="398" t="s">
        <v>159</v>
      </c>
      <c r="C21" s="407">
        <v>6.4219504647937127</v>
      </c>
      <c r="D21" s="407">
        <v>6.5769633866057804</v>
      </c>
      <c r="E21" s="407">
        <v>6.8051110973107196</v>
      </c>
      <c r="F21" s="407">
        <v>6.8508416505109411</v>
      </c>
      <c r="G21" s="360">
        <v>6.97</v>
      </c>
      <c r="H21" s="360">
        <v>7.02</v>
      </c>
      <c r="I21" s="360">
        <v>7.06</v>
      </c>
      <c r="J21" s="360">
        <v>7.15</v>
      </c>
      <c r="K21" s="410">
        <v>7.2</v>
      </c>
      <c r="L21" s="360">
        <v>7.2</v>
      </c>
      <c r="M21" s="360">
        <v>7.1</v>
      </c>
      <c r="N21" s="408">
        <v>6.8</v>
      </c>
      <c r="O21" s="410">
        <v>6.9</v>
      </c>
      <c r="P21" s="360">
        <v>7.2</v>
      </c>
      <c r="Q21" s="360">
        <v>7.2637955857860916</v>
      </c>
      <c r="R21" s="360">
        <v>7.42</v>
      </c>
      <c r="S21" s="410">
        <v>7.5</v>
      </c>
      <c r="T21" s="360">
        <v>7.6</v>
      </c>
      <c r="U21" s="360">
        <v>7.7</v>
      </c>
      <c r="V21" s="408">
        <v>7.9</v>
      </c>
      <c r="W21" s="408">
        <v>7.99</v>
      </c>
      <c r="X21" s="409"/>
      <c r="Y21" s="410">
        <v>0</v>
      </c>
      <c r="Z21" s="360">
        <v>0</v>
      </c>
      <c r="AA21" s="410">
        <v>0</v>
      </c>
      <c r="AB21" s="360">
        <v>0</v>
      </c>
      <c r="AC21" s="360">
        <v>7.15</v>
      </c>
      <c r="AD21" s="360">
        <v>6.81</v>
      </c>
      <c r="AE21" s="360">
        <v>7.42</v>
      </c>
      <c r="AF21" s="408">
        <v>7.9</v>
      </c>
    </row>
    <row r="22" spans="2:32" x14ac:dyDescent="0.25">
      <c r="B22" s="155" t="s">
        <v>104</v>
      </c>
      <c r="C22" s="342"/>
      <c r="D22" s="342"/>
      <c r="E22" s="342"/>
      <c r="F22" s="342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2"/>
      <c r="T22" s="253"/>
      <c r="U22" s="253"/>
      <c r="V22" s="254"/>
      <c r="W22" s="254"/>
      <c r="Y22" s="120"/>
      <c r="Z22" s="121"/>
      <c r="AA22" s="120"/>
      <c r="AB22" s="121"/>
      <c r="AC22" s="121"/>
      <c r="AD22" s="121"/>
      <c r="AE22" s="121"/>
      <c r="AF22" s="122"/>
    </row>
    <row r="23" spans="2:32" x14ac:dyDescent="0.25">
      <c r="B23" s="123" t="s">
        <v>34</v>
      </c>
      <c r="C23" s="124">
        <v>0.39737291064505176</v>
      </c>
      <c r="D23" s="124">
        <v>0.39807342568989951</v>
      </c>
      <c r="E23" s="124">
        <v>0.39749772427835645</v>
      </c>
      <c r="F23" s="124">
        <v>0.39969768385544541</v>
      </c>
      <c r="G23" s="124">
        <v>0.39862385892535712</v>
      </c>
      <c r="H23" s="124">
        <v>0.39785815712394923</v>
      </c>
      <c r="I23" s="124">
        <v>0.39658922852734796</v>
      </c>
      <c r="J23" s="124">
        <v>0.39900734960846601</v>
      </c>
      <c r="K23" s="147">
        <v>0.40180790880969919</v>
      </c>
      <c r="L23" s="138">
        <v>0.40140575007186891</v>
      </c>
      <c r="M23" s="138">
        <v>0.40229284137830373</v>
      </c>
      <c r="N23" s="125">
        <v>0.40157777018200019</v>
      </c>
      <c r="O23" s="147">
        <v>0.40177559651781397</v>
      </c>
      <c r="P23" s="124">
        <v>0.40107555260264699</v>
      </c>
      <c r="Q23" s="124">
        <v>0.39970472120702705</v>
      </c>
      <c r="R23" s="124">
        <v>0.39751456586439637</v>
      </c>
      <c r="S23" s="147">
        <v>0.39641625208416303</v>
      </c>
      <c r="T23" s="124">
        <v>0.39341703872096045</v>
      </c>
      <c r="U23" s="124">
        <v>0.39055456497232649</v>
      </c>
      <c r="V23" s="125">
        <v>0.38522462318328887</v>
      </c>
      <c r="W23" s="125">
        <v>0.38088983291657197</v>
      </c>
      <c r="Y23" s="126">
        <v>0.35133069992813393</v>
      </c>
      <c r="Z23" s="127">
        <v>0.34966732298995584</v>
      </c>
      <c r="AA23" s="126">
        <v>0.39583096647064064</v>
      </c>
      <c r="AB23" s="127">
        <v>0.3996976838554463</v>
      </c>
      <c r="AC23" s="127">
        <v>0.39900734960846601</v>
      </c>
      <c r="AD23" s="127">
        <v>0.40157777018200019</v>
      </c>
      <c r="AE23" s="127">
        <v>0.39751456586439637</v>
      </c>
      <c r="AF23" s="128">
        <v>0.38522462318328887</v>
      </c>
    </row>
    <row r="24" spans="2:32" x14ac:dyDescent="0.25">
      <c r="B24" s="139" t="s">
        <v>33</v>
      </c>
      <c r="C24" s="140">
        <v>0.60262708935494758</v>
      </c>
      <c r="D24" s="140">
        <v>0.60192657431010055</v>
      </c>
      <c r="E24" s="140">
        <v>0.60250227572164561</v>
      </c>
      <c r="F24" s="140">
        <v>0.60030231614455165</v>
      </c>
      <c r="G24" s="140">
        <v>0.60137614107464288</v>
      </c>
      <c r="H24" s="140">
        <v>0.60214184287605077</v>
      </c>
      <c r="I24" s="140">
        <v>0.60341077147265199</v>
      </c>
      <c r="J24" s="140">
        <v>0.60099265039153393</v>
      </c>
      <c r="K24" s="466">
        <v>0.59819209119030081</v>
      </c>
      <c r="L24" s="141">
        <v>0.59859424992813115</v>
      </c>
      <c r="M24" s="141">
        <v>0.59770715862169621</v>
      </c>
      <c r="N24" s="142">
        <v>0.59842222981799975</v>
      </c>
      <c r="O24" s="466">
        <v>0.59822440348218597</v>
      </c>
      <c r="P24" s="140">
        <v>0.59892444739735307</v>
      </c>
      <c r="Q24" s="140">
        <v>0.60029527879297306</v>
      </c>
      <c r="R24" s="140">
        <v>0.60248543413560363</v>
      </c>
      <c r="S24" s="466">
        <v>0.60358374791583691</v>
      </c>
      <c r="T24" s="140">
        <v>0.60658296127903955</v>
      </c>
      <c r="U24" s="140">
        <v>0.60944543502767357</v>
      </c>
      <c r="V24" s="142">
        <v>0.61477537681671102</v>
      </c>
      <c r="W24" s="142">
        <v>0.61911016708342803</v>
      </c>
      <c r="Y24" s="126">
        <v>0.64866930007186607</v>
      </c>
      <c r="Z24" s="127">
        <v>0.65033267701004416</v>
      </c>
      <c r="AA24" s="126">
        <v>0.60416903352935936</v>
      </c>
      <c r="AB24" s="127">
        <v>0.60030231614455376</v>
      </c>
      <c r="AC24" s="127">
        <v>0.60099265039153393</v>
      </c>
      <c r="AD24" s="127">
        <v>0.59842222981799975</v>
      </c>
      <c r="AE24" s="127">
        <v>0.60248543413560363</v>
      </c>
      <c r="AF24" s="128">
        <v>0.61477537681671102</v>
      </c>
    </row>
    <row r="25" spans="2:32" s="89" customFormat="1" x14ac:dyDescent="0.25">
      <c r="B25" s="155" t="s">
        <v>166</v>
      </c>
      <c r="C25" s="342"/>
      <c r="D25" s="342"/>
      <c r="E25" s="342"/>
      <c r="F25" s="342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2"/>
      <c r="T25" s="253"/>
      <c r="U25" s="253"/>
      <c r="V25" s="254"/>
      <c r="W25" s="254"/>
      <c r="X25" s="267"/>
      <c r="Y25" s="252"/>
      <c r="Z25" s="253"/>
      <c r="AA25" s="252"/>
      <c r="AB25" s="253"/>
      <c r="AC25" s="253"/>
      <c r="AD25" s="253"/>
      <c r="AE25" s="253"/>
      <c r="AF25" s="254"/>
    </row>
    <row r="26" spans="2:32" s="255" customFormat="1" x14ac:dyDescent="0.25">
      <c r="B26" s="546" t="s">
        <v>135</v>
      </c>
      <c r="C26" s="124">
        <v>0.41091061841404364</v>
      </c>
      <c r="D26" s="124">
        <v>0.42618618952790571</v>
      </c>
      <c r="E26" s="124">
        <v>0.43165651942903671</v>
      </c>
      <c r="F26" s="124">
        <v>0.43775908385103274</v>
      </c>
      <c r="G26" s="367">
        <v>0.44884676467154283</v>
      </c>
      <c r="H26" s="367">
        <v>0.42674226619036254</v>
      </c>
      <c r="I26" s="367">
        <v>0.42650913811820995</v>
      </c>
      <c r="J26" s="367">
        <v>0.40306590304163564</v>
      </c>
      <c r="K26" s="547">
        <v>0.392276671594117</v>
      </c>
      <c r="L26" s="367">
        <v>0.37086083726281338</v>
      </c>
      <c r="M26" s="367">
        <v>0.35439771703387118</v>
      </c>
      <c r="N26" s="548">
        <v>0.34479900705535677</v>
      </c>
      <c r="O26" s="547">
        <v>0.33331992907734487</v>
      </c>
      <c r="P26" s="367">
        <v>0.32093365443335259</v>
      </c>
      <c r="Q26" s="549">
        <v>0.3095072252832935</v>
      </c>
      <c r="R26" s="549">
        <v>0.3</v>
      </c>
      <c r="S26" s="559">
        <v>0.30361657588642427</v>
      </c>
      <c r="T26" s="549">
        <v>0.30297893859509473</v>
      </c>
      <c r="U26" s="549">
        <v>0.29995721395275521</v>
      </c>
      <c r="V26" s="550">
        <v>0.28888310868721673</v>
      </c>
      <c r="W26" s="550">
        <v>0.28689567641625019</v>
      </c>
      <c r="Y26" s="547">
        <v>0.44143947204032929</v>
      </c>
      <c r="Z26" s="367">
        <v>0.41103752348535244</v>
      </c>
      <c r="AA26" s="547">
        <v>0.39641344347740648</v>
      </c>
      <c r="AB26" s="367">
        <v>0.43775908385103274</v>
      </c>
      <c r="AC26" s="367">
        <v>0.40306590304163564</v>
      </c>
      <c r="AD26" s="367">
        <v>0.34479900705535677</v>
      </c>
      <c r="AE26" s="367">
        <v>0.3</v>
      </c>
      <c r="AF26" s="548">
        <v>0.28888310868721673</v>
      </c>
    </row>
    <row r="27" spans="2:32" s="255" customFormat="1" x14ac:dyDescent="0.25">
      <c r="B27" s="475" t="s">
        <v>151</v>
      </c>
      <c r="C27" s="127">
        <v>0.58908938158595636</v>
      </c>
      <c r="D27" s="127">
        <v>0.57381381047209423</v>
      </c>
      <c r="E27" s="127">
        <v>0.56834348057096329</v>
      </c>
      <c r="F27" s="127">
        <v>0.56224091614896721</v>
      </c>
      <c r="G27" s="366">
        <v>0.55115323532845728</v>
      </c>
      <c r="H27" s="366">
        <v>0.5732577338096374</v>
      </c>
      <c r="I27" s="366">
        <v>0.5734908618817901</v>
      </c>
      <c r="J27" s="366">
        <v>0.59693409695836441</v>
      </c>
      <c r="K27" s="551">
        <v>0.60772332840588306</v>
      </c>
      <c r="L27" s="366">
        <v>0.62913916273718662</v>
      </c>
      <c r="M27" s="366">
        <v>0.64560228296612876</v>
      </c>
      <c r="N27" s="552">
        <v>0.65520099294464329</v>
      </c>
      <c r="O27" s="551">
        <v>0.66668007092265513</v>
      </c>
      <c r="P27" s="366">
        <v>0.67906634556664747</v>
      </c>
      <c r="Q27" s="366">
        <v>0.69049277471670645</v>
      </c>
      <c r="R27" s="366">
        <v>0.7</v>
      </c>
      <c r="S27" s="551">
        <v>0.69638342411357579</v>
      </c>
      <c r="T27" s="366">
        <v>0.69702106140490527</v>
      </c>
      <c r="U27" s="366">
        <v>0.70004278604724479</v>
      </c>
      <c r="V27" s="552">
        <v>0.71111689131278322</v>
      </c>
      <c r="W27" s="552">
        <v>0.71310432358374976</v>
      </c>
      <c r="Y27" s="467">
        <v>0.55856052795967082</v>
      </c>
      <c r="Z27" s="454">
        <v>0.58896247651464761</v>
      </c>
      <c r="AA27" s="467">
        <v>0.60358655652259352</v>
      </c>
      <c r="AB27" s="454">
        <v>0.56224091614896721</v>
      </c>
      <c r="AC27" s="454">
        <v>0.59693409695836441</v>
      </c>
      <c r="AD27" s="454">
        <v>0.65520099294464329</v>
      </c>
      <c r="AE27" s="454">
        <v>0.7</v>
      </c>
      <c r="AF27" s="455">
        <v>0.71111689131278322</v>
      </c>
    </row>
    <row r="28" spans="2:32" s="89" customFormat="1" x14ac:dyDescent="0.25">
      <c r="B28" s="155" t="s">
        <v>275</v>
      </c>
      <c r="C28" s="342"/>
      <c r="D28" s="342"/>
      <c r="E28" s="342"/>
      <c r="F28" s="342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2"/>
      <c r="T28" s="253"/>
      <c r="U28" s="253"/>
      <c r="V28" s="254"/>
      <c r="W28" s="254"/>
      <c r="X28" s="267"/>
      <c r="Y28" s="252"/>
      <c r="Z28" s="253"/>
      <c r="AA28" s="252"/>
      <c r="AB28" s="253"/>
      <c r="AC28" s="253"/>
      <c r="AD28" s="253"/>
      <c r="AE28" s="253"/>
      <c r="AF28" s="254"/>
    </row>
    <row r="29" spans="2:32" s="89" customFormat="1" x14ac:dyDescent="0.25">
      <c r="B29" s="79" t="s">
        <v>276</v>
      </c>
      <c r="C29" s="474">
        <v>0</v>
      </c>
      <c r="D29" s="352">
        <f t="shared" ref="D29:S29" si="1">((C4+D5-D4)/C4)*4</f>
        <v>0.15356259884094284</v>
      </c>
      <c r="E29" s="352">
        <f t="shared" si="1"/>
        <v>0.19172180565070149</v>
      </c>
      <c r="F29" s="352">
        <f t="shared" si="1"/>
        <v>0.20715256609017973</v>
      </c>
      <c r="G29" s="352">
        <f t="shared" si="1"/>
        <v>0.19391958163376308</v>
      </c>
      <c r="H29" s="352">
        <f t="shared" si="1"/>
        <v>0.16703047238213292</v>
      </c>
      <c r="I29" s="352">
        <f t="shared" si="1"/>
        <v>0.20962214418684882</v>
      </c>
      <c r="J29" s="352">
        <f t="shared" si="1"/>
        <v>0.1539731150127637</v>
      </c>
      <c r="K29" s="475">
        <f t="shared" si="1"/>
        <v>0.16513271598126489</v>
      </c>
      <c r="L29" s="352">
        <f t="shared" si="1"/>
        <v>0.16082517610211236</v>
      </c>
      <c r="M29" s="352">
        <f t="shared" si="1"/>
        <v>0.15729237064477286</v>
      </c>
      <c r="N29" s="476">
        <f t="shared" si="1"/>
        <v>0.16417285457180356</v>
      </c>
      <c r="O29" s="475">
        <f t="shared" si="1"/>
        <v>0.15759226977284541</v>
      </c>
      <c r="P29" s="352">
        <f t="shared" si="1"/>
        <v>0.1658846607609559</v>
      </c>
      <c r="Q29" s="352">
        <f t="shared" si="1"/>
        <v>0.16346671968038035</v>
      </c>
      <c r="R29" s="352">
        <f t="shared" si="1"/>
        <v>0.17501102347037734</v>
      </c>
      <c r="S29" s="546">
        <f t="shared" si="1"/>
        <v>0.16177647048683633</v>
      </c>
      <c r="T29" s="351">
        <f>((S4+T5-T4)/S4)*4</f>
        <v>0.18185607155658023</v>
      </c>
      <c r="U29" s="351">
        <f>((T4+U5-U4)/T4)*4</f>
        <v>0.16388489666418524</v>
      </c>
      <c r="V29" s="561">
        <f>((U4+V5-V4)/U4)*4</f>
        <v>0.19815772755009373</v>
      </c>
      <c r="W29" s="561">
        <f>((V4+W5-W4)/V4)*4</f>
        <v>0.19360055194269421</v>
      </c>
      <c r="X29" s="267"/>
      <c r="Y29" s="453">
        <v>0</v>
      </c>
      <c r="Z29" s="273">
        <f t="shared" ref="Z29:AF29" si="2">(Y4+Z5-Z4)/Y4</f>
        <v>0.18108037763888288</v>
      </c>
      <c r="AA29" s="272">
        <f t="shared" si="2"/>
        <v>0.12809654347643676</v>
      </c>
      <c r="AB29" s="273">
        <f t="shared" si="2"/>
        <v>0.18048059153895485</v>
      </c>
      <c r="AC29" s="273">
        <f t="shared" si="2"/>
        <v>0.19454185616090033</v>
      </c>
      <c r="AD29" s="273">
        <f t="shared" si="2"/>
        <v>0.17196959873128462</v>
      </c>
      <c r="AE29" s="273">
        <f t="shared" si="2"/>
        <v>0.17417768084830007</v>
      </c>
      <c r="AF29" s="1097">
        <f t="shared" si="2"/>
        <v>0.18332623577779156</v>
      </c>
    </row>
    <row r="30" spans="2:32" s="89" customFormat="1" x14ac:dyDescent="0.25">
      <c r="B30" s="80" t="s">
        <v>277</v>
      </c>
      <c r="C30" s="140">
        <v>3.6935476288518045E-2</v>
      </c>
      <c r="D30" s="140">
        <v>4.5765452684506158E-2</v>
      </c>
      <c r="E30" s="140">
        <v>7.3054262051643337E-2</v>
      </c>
      <c r="F30" s="140">
        <v>7.7966094977918662E-2</v>
      </c>
      <c r="G30" s="454">
        <v>6.3019757511457553E-2</v>
      </c>
      <c r="H30" s="454">
        <v>6.0245595459936074E-2</v>
      </c>
      <c r="I30" s="454">
        <v>5.9073773504697176E-2</v>
      </c>
      <c r="J30" s="454">
        <v>4.3505027912807415E-2</v>
      </c>
      <c r="K30" s="467">
        <v>5.739390213577307E-2</v>
      </c>
      <c r="L30" s="454">
        <v>5.7408019787698036E-2</v>
      </c>
      <c r="M30" s="454">
        <v>6.4619316390972736E-2</v>
      </c>
      <c r="N30" s="455">
        <v>6.3324896094640454E-2</v>
      </c>
      <c r="O30" s="467">
        <v>5.0922312357210155E-2</v>
      </c>
      <c r="P30" s="454">
        <v>5.2828433395989575E-2</v>
      </c>
      <c r="Q30" s="454">
        <v>5.7003416083352486E-2</v>
      </c>
      <c r="R30" s="454">
        <v>6.9105551842293819E-2</v>
      </c>
      <c r="S30" s="467">
        <v>4.9210153722475253E-2</v>
      </c>
      <c r="T30" s="454">
        <v>5.6649854536023586E-2</v>
      </c>
      <c r="U30" s="454">
        <v>5.0930021367102812E-2</v>
      </c>
      <c r="V30" s="455">
        <v>6.6299999999999998E-2</v>
      </c>
      <c r="W30" s="455">
        <v>5.1044465414249104E-2</v>
      </c>
      <c r="X30" s="267"/>
      <c r="Y30" s="456">
        <v>0</v>
      </c>
      <c r="Z30" s="459">
        <v>0</v>
      </c>
      <c r="AA30" s="276">
        <v>4.3488142233552331E-2</v>
      </c>
      <c r="AB30" s="277">
        <v>5.8430441932602425E-2</v>
      </c>
      <c r="AC30" s="277">
        <v>5.6461038597224483E-2</v>
      </c>
      <c r="AD30" s="277">
        <v>6.0685827719674949E-2</v>
      </c>
      <c r="AE30" s="277">
        <v>5.7464928419711854E-2</v>
      </c>
      <c r="AF30" s="278">
        <v>5.5800000000000002E-2</v>
      </c>
    </row>
    <row r="31" spans="2:32" x14ac:dyDescent="0.25">
      <c r="B31" s="143"/>
      <c r="C31" s="143"/>
      <c r="D31" s="143"/>
      <c r="E31" s="143"/>
      <c r="F31" s="143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Z31" s="127"/>
      <c r="AA31" s="126"/>
      <c r="AB31" s="127"/>
      <c r="AC31" s="127"/>
      <c r="AD31" s="127"/>
      <c r="AE31" s="127"/>
      <c r="AF31" s="128"/>
    </row>
    <row r="32" spans="2:32" x14ac:dyDescent="0.25">
      <c r="B32" s="111" t="s">
        <v>35</v>
      </c>
      <c r="C32" s="338"/>
      <c r="D32" s="338"/>
      <c r="E32" s="338"/>
      <c r="F32" s="338"/>
      <c r="G32" s="86"/>
      <c r="H32" s="86"/>
      <c r="I32" s="86"/>
      <c r="J32" s="86"/>
      <c r="K32" s="145"/>
      <c r="L32" s="145"/>
      <c r="M32" s="145"/>
      <c r="N32" s="145"/>
      <c r="O32" s="145"/>
      <c r="P32" s="145"/>
      <c r="Q32" s="145"/>
      <c r="R32" s="145"/>
      <c r="S32" s="560"/>
      <c r="T32" s="145"/>
      <c r="U32" s="145"/>
      <c r="V32" s="146"/>
      <c r="W32" s="146"/>
      <c r="Y32" s="106"/>
      <c r="Z32" s="106"/>
      <c r="AA32" s="566"/>
      <c r="AB32" s="565"/>
      <c r="AC32" s="565"/>
      <c r="AD32" s="565"/>
      <c r="AE32" s="565"/>
      <c r="AF32" s="361"/>
    </row>
    <row r="33" spans="2:34" x14ac:dyDescent="0.25">
      <c r="B33" s="78" t="s">
        <v>36</v>
      </c>
      <c r="C33" s="138">
        <v>0.40337753998081799</v>
      </c>
      <c r="D33" s="138">
        <v>0.39928635196742684</v>
      </c>
      <c r="E33" s="138">
        <v>0.39760533842483081</v>
      </c>
      <c r="F33" s="138">
        <v>0.39441617246015043</v>
      </c>
      <c r="G33" s="138">
        <v>0.39069088928949808</v>
      </c>
      <c r="H33" s="138">
        <v>0.38603468527051887</v>
      </c>
      <c r="I33" s="138">
        <v>0.38220161236924505</v>
      </c>
      <c r="J33" s="138">
        <v>0.37560388374834486</v>
      </c>
      <c r="K33" s="464">
        <v>0.36839163534212543</v>
      </c>
      <c r="L33" s="138">
        <v>0.36045913821234832</v>
      </c>
      <c r="M33" s="138">
        <v>0.35357915253020655</v>
      </c>
      <c r="N33" s="322">
        <v>0.34486316426349378</v>
      </c>
      <c r="O33" s="464">
        <v>0.34080565922590927</v>
      </c>
      <c r="P33" s="138">
        <v>0.33756385125110505</v>
      </c>
      <c r="Q33" s="138">
        <v>0.33400000000000002</v>
      </c>
      <c r="R33" s="138">
        <v>0.33097406585054601</v>
      </c>
      <c r="S33" s="464">
        <v>0.33073284570172179</v>
      </c>
      <c r="T33" s="138">
        <v>0.32973154715062603</v>
      </c>
      <c r="U33" s="138">
        <v>0.33005564098140666</v>
      </c>
      <c r="V33" s="322">
        <v>0.33</v>
      </c>
      <c r="W33" s="322">
        <v>0.33100000000000002</v>
      </c>
      <c r="Y33" s="147">
        <v>0.44400000000000001</v>
      </c>
      <c r="Z33" s="124">
        <v>0.42199999999999999</v>
      </c>
      <c r="AA33" s="147">
        <v>0.40300000000000002</v>
      </c>
      <c r="AB33" s="124">
        <v>0.39400000000000002</v>
      </c>
      <c r="AC33" s="124">
        <v>0.376</v>
      </c>
      <c r="AD33" s="124">
        <v>0.34499999999999997</v>
      </c>
      <c r="AE33" s="124">
        <v>0.33097406585054601</v>
      </c>
      <c r="AF33" s="125">
        <v>0.33</v>
      </c>
    </row>
    <row r="34" spans="2:34" x14ac:dyDescent="0.25">
      <c r="B34" s="79" t="s">
        <v>37</v>
      </c>
      <c r="C34" s="144">
        <v>0.17376898022620549</v>
      </c>
      <c r="D34" s="144">
        <v>0.17315797113530393</v>
      </c>
      <c r="E34" s="144">
        <v>0.17099903740987596</v>
      </c>
      <c r="F34" s="144">
        <v>0.17250477604828629</v>
      </c>
      <c r="G34" s="144">
        <v>0.17177815933717019</v>
      </c>
      <c r="H34" s="144">
        <v>0.17109632449906384</v>
      </c>
      <c r="I34" s="144">
        <v>0.1727462810150438</v>
      </c>
      <c r="J34" s="144">
        <v>0.17389388830507163</v>
      </c>
      <c r="K34" s="150">
        <v>0.17625648378497691</v>
      </c>
      <c r="L34" s="144">
        <v>0.18205128456178557</v>
      </c>
      <c r="M34" s="144">
        <v>0.1865820879373353</v>
      </c>
      <c r="N34" s="148">
        <v>0.194048634374761</v>
      </c>
      <c r="O34" s="150">
        <v>0.19594751259088439</v>
      </c>
      <c r="P34" s="144">
        <v>0.19612928894059262</v>
      </c>
      <c r="Q34" s="144">
        <v>0.19900000000000001</v>
      </c>
      <c r="R34" s="144">
        <v>0.19956288338300601</v>
      </c>
      <c r="S34" s="150">
        <v>0.19737026090059162</v>
      </c>
      <c r="T34" s="144">
        <v>0.19639613682505389</v>
      </c>
      <c r="U34" s="144">
        <v>0.19549870588296572</v>
      </c>
      <c r="V34" s="148">
        <v>0.19400000000000001</v>
      </c>
      <c r="W34" s="148">
        <v>0.19400000000000001</v>
      </c>
      <c r="Y34" s="126">
        <v>0.183</v>
      </c>
      <c r="Z34" s="127">
        <v>0.17899999999999999</v>
      </c>
      <c r="AA34" s="126">
        <v>0.17499999999999999</v>
      </c>
      <c r="AB34" s="127">
        <v>0.17299999999999999</v>
      </c>
      <c r="AC34" s="127">
        <v>0.17399999999999999</v>
      </c>
      <c r="AD34" s="127">
        <v>0.19400000000000001</v>
      </c>
      <c r="AE34" s="127">
        <v>0.19956288338300601</v>
      </c>
      <c r="AF34" s="128">
        <v>0.19400000000000001</v>
      </c>
    </row>
    <row r="35" spans="2:34" x14ac:dyDescent="0.25">
      <c r="B35" s="79" t="s">
        <v>40</v>
      </c>
      <c r="C35" s="144">
        <v>0.15594365557127374</v>
      </c>
      <c r="D35" s="144">
        <v>0.15476517651917171</v>
      </c>
      <c r="E35" s="144">
        <v>0.15216133785640318</v>
      </c>
      <c r="F35" s="144">
        <v>0.14749955989411134</v>
      </c>
      <c r="G35" s="144">
        <v>0.14510431721904479</v>
      </c>
      <c r="H35" s="144">
        <v>0.14285516864888848</v>
      </c>
      <c r="I35" s="144">
        <v>0.13904017804059679</v>
      </c>
      <c r="J35" s="144">
        <v>0.13672282974467279</v>
      </c>
      <c r="K35" s="150">
        <v>0.13482974076685114</v>
      </c>
      <c r="L35" s="144">
        <v>0.13297644841962836</v>
      </c>
      <c r="M35" s="144">
        <v>0.13107257712347878</v>
      </c>
      <c r="N35" s="148">
        <v>0.12852014531872838</v>
      </c>
      <c r="O35" s="150">
        <v>0.1279818014105856</v>
      </c>
      <c r="P35" s="144">
        <v>0.12749376359250822</v>
      </c>
      <c r="Q35" s="144">
        <v>0.125</v>
      </c>
      <c r="R35" s="144">
        <v>0.122662483876244</v>
      </c>
      <c r="S35" s="150">
        <v>0.12141930693308002</v>
      </c>
      <c r="T35" s="144">
        <v>0.11976939504892764</v>
      </c>
      <c r="U35" s="144">
        <v>0.11819231446515492</v>
      </c>
      <c r="V35" s="148">
        <v>0.11700000000000001</v>
      </c>
      <c r="W35" s="148">
        <v>0.11600000000000001</v>
      </c>
      <c r="Y35" s="126">
        <v>0.16800000000000001</v>
      </c>
      <c r="Z35" s="127">
        <v>0.161</v>
      </c>
      <c r="AA35" s="126">
        <v>0.157</v>
      </c>
      <c r="AB35" s="127">
        <v>0.14699999999999999</v>
      </c>
      <c r="AC35" s="127">
        <v>0.13700000000000001</v>
      </c>
      <c r="AD35" s="127">
        <v>0.129</v>
      </c>
      <c r="AE35" s="127">
        <v>0.122662483876244</v>
      </c>
      <c r="AF35" s="128">
        <v>0.11700000000000001</v>
      </c>
    </row>
    <row r="36" spans="2:34" x14ac:dyDescent="0.25">
      <c r="B36" s="79" t="s">
        <v>38</v>
      </c>
      <c r="C36" s="144">
        <v>0.11423262006106434</v>
      </c>
      <c r="D36" s="144">
        <v>0.11727619715075893</v>
      </c>
      <c r="E36" s="144">
        <v>0.1200674640144594</v>
      </c>
      <c r="F36" s="144">
        <v>0.12337171005041983</v>
      </c>
      <c r="G36" s="144">
        <v>0.12552470021630696</v>
      </c>
      <c r="H36" s="144">
        <v>0.12768981993694767</v>
      </c>
      <c r="I36" s="144">
        <v>0.12809090111091187</v>
      </c>
      <c r="J36" s="144">
        <v>0.12858915045643268</v>
      </c>
      <c r="K36" s="150">
        <v>0.12859915429859289</v>
      </c>
      <c r="L36" s="144">
        <v>0.12775711723158528</v>
      </c>
      <c r="M36" s="144">
        <v>0.12734025435256216</v>
      </c>
      <c r="N36" s="148">
        <v>0.12621474810916997</v>
      </c>
      <c r="O36" s="150">
        <v>0.12543987381028016</v>
      </c>
      <c r="P36" s="144">
        <v>0.1245159330971034</v>
      </c>
      <c r="Q36" s="144">
        <v>0.123</v>
      </c>
      <c r="R36" s="144">
        <v>0.122197747522304</v>
      </c>
      <c r="S36" s="150">
        <v>0.12205576744118768</v>
      </c>
      <c r="T36" s="144">
        <v>0.12127291478203409</v>
      </c>
      <c r="U36" s="144">
        <v>0.11961443031068024</v>
      </c>
      <c r="V36" s="148">
        <v>0.11899999999999999</v>
      </c>
      <c r="W36" s="148">
        <v>0.11799999999999999</v>
      </c>
      <c r="Y36" s="126">
        <v>0.1</v>
      </c>
      <c r="Z36" s="127">
        <v>0.104</v>
      </c>
      <c r="AA36" s="126">
        <v>0.113</v>
      </c>
      <c r="AB36" s="127">
        <v>0.123</v>
      </c>
      <c r="AC36" s="127">
        <v>0.129</v>
      </c>
      <c r="AD36" s="127">
        <v>0.126</v>
      </c>
      <c r="AE36" s="127">
        <v>0.122197747522304</v>
      </c>
      <c r="AF36" s="128">
        <v>0.11899999999999999</v>
      </c>
    </row>
    <row r="37" spans="2:34" x14ac:dyDescent="0.25">
      <c r="B37" s="79" t="s">
        <v>43</v>
      </c>
      <c r="C37" s="144">
        <v>5.5775516115778183E-2</v>
      </c>
      <c r="D37" s="144">
        <v>5.5515453400729602E-2</v>
      </c>
      <c r="E37" s="144">
        <v>5.591112285183248E-2</v>
      </c>
      <c r="F37" s="144">
        <v>5.6033997792996525E-2</v>
      </c>
      <c r="G37" s="144">
        <v>5.5292792569092218E-2</v>
      </c>
      <c r="H37" s="144">
        <v>5.5539397500691728E-2</v>
      </c>
      <c r="I37" s="144">
        <v>5.6328350833860993E-2</v>
      </c>
      <c r="J37" s="144">
        <v>5.6645478988744301E-2</v>
      </c>
      <c r="K37" s="150">
        <v>5.6996985790929225E-2</v>
      </c>
      <c r="L37" s="144">
        <v>5.7378937248293523E-2</v>
      </c>
      <c r="M37" s="144">
        <v>5.7280804931297169E-2</v>
      </c>
      <c r="N37" s="148">
        <v>5.6831744822997521E-2</v>
      </c>
      <c r="O37" s="150">
        <v>5.5733480827684159E-2</v>
      </c>
      <c r="P37" s="144">
        <v>5.5686954723406179E-2</v>
      </c>
      <c r="Q37" s="144">
        <v>5.5E-2</v>
      </c>
      <c r="R37" s="144">
        <v>5.5035264135771603E-2</v>
      </c>
      <c r="S37" s="150">
        <v>5.4783820402416625E-2</v>
      </c>
      <c r="T37" s="144">
        <v>5.4799602887412084E-2</v>
      </c>
      <c r="U37" s="144">
        <v>5.4875819566333563E-2</v>
      </c>
      <c r="V37" s="148">
        <v>5.3999999999999999E-2</v>
      </c>
      <c r="W37" s="148">
        <v>5.0999999999999997E-2</v>
      </c>
      <c r="Y37" s="126">
        <v>5.0999999999999997E-2</v>
      </c>
      <c r="Z37" s="127">
        <v>5.6000000000000001E-2</v>
      </c>
      <c r="AA37" s="126">
        <v>5.7000000000000002E-2</v>
      </c>
      <c r="AB37" s="127">
        <v>5.6000000000000001E-2</v>
      </c>
      <c r="AC37" s="127">
        <v>5.7000000000000002E-2</v>
      </c>
      <c r="AD37" s="127">
        <v>5.7000000000000002E-2</v>
      </c>
      <c r="AE37" s="127">
        <v>5.5035264135771603E-2</v>
      </c>
      <c r="AF37" s="128">
        <v>5.3999999999999999E-2</v>
      </c>
    </row>
    <row r="38" spans="2:34" x14ac:dyDescent="0.25">
      <c r="B38" s="79" t="s">
        <v>41</v>
      </c>
      <c r="C38" s="144">
        <v>4.1097580658740508E-2</v>
      </c>
      <c r="D38" s="144">
        <v>4.1829935365432884E-2</v>
      </c>
      <c r="E38" s="144">
        <v>4.25934647122218E-2</v>
      </c>
      <c r="F38" s="144">
        <v>4.3217296817258388E-2</v>
      </c>
      <c r="G38" s="144">
        <v>4.4515540468969626E-2</v>
      </c>
      <c r="H38" s="144">
        <v>4.5282964733001266E-2</v>
      </c>
      <c r="I38" s="144">
        <v>4.5888302498231968E-2</v>
      </c>
      <c r="J38" s="144">
        <v>4.7017714723724957E-2</v>
      </c>
      <c r="K38" s="150">
        <v>4.8414009693790054E-2</v>
      </c>
      <c r="L38" s="144">
        <v>4.9326197265273132E-2</v>
      </c>
      <c r="M38" s="144">
        <v>4.9929698900794968E-2</v>
      </c>
      <c r="N38" s="148">
        <v>5.0265062001344271E-2</v>
      </c>
      <c r="O38" s="150">
        <v>5.0727365072423321E-2</v>
      </c>
      <c r="P38" s="144">
        <v>5.1544581051430116E-2</v>
      </c>
      <c r="Q38" s="144">
        <v>5.2999999999999999E-2</v>
      </c>
      <c r="R38" s="144">
        <v>5.4830074955264797E-2</v>
      </c>
      <c r="S38" s="150">
        <v>5.6177283181531069E-2</v>
      </c>
      <c r="T38" s="144">
        <v>5.7240220745834951E-2</v>
      </c>
      <c r="U38" s="144">
        <v>5.8693618210518668E-2</v>
      </c>
      <c r="V38" s="148">
        <v>0.06</v>
      </c>
      <c r="W38" s="148">
        <v>6.0999999999999999E-2</v>
      </c>
      <c r="Y38" s="126">
        <v>2.5999999999999999E-2</v>
      </c>
      <c r="Z38" s="127">
        <v>3.5000000000000003E-2</v>
      </c>
      <c r="AA38" s="126">
        <v>4.1000000000000002E-2</v>
      </c>
      <c r="AB38" s="127">
        <v>4.2999999999999997E-2</v>
      </c>
      <c r="AC38" s="127">
        <v>4.7E-2</v>
      </c>
      <c r="AD38" s="127">
        <v>0.05</v>
      </c>
      <c r="AE38" s="127">
        <v>5.4830074955264797E-2</v>
      </c>
      <c r="AF38" s="128">
        <v>0.06</v>
      </c>
    </row>
    <row r="39" spans="2:34" x14ac:dyDescent="0.25">
      <c r="B39" s="79" t="s">
        <v>44</v>
      </c>
      <c r="C39" s="144">
        <v>2.9909827180335167E-2</v>
      </c>
      <c r="D39" s="144">
        <v>3.0362871624469434E-2</v>
      </c>
      <c r="E39" s="144">
        <v>3.008219466379258E-2</v>
      </c>
      <c r="F39" s="144">
        <v>2.9848941218454637E-2</v>
      </c>
      <c r="G39" s="144">
        <v>3.1E-2</v>
      </c>
      <c r="H39" s="144">
        <v>3.2000000000000001E-2</v>
      </c>
      <c r="I39" s="144">
        <v>3.3000000000000002E-2</v>
      </c>
      <c r="J39" s="144">
        <v>3.5000000000000003E-2</v>
      </c>
      <c r="K39" s="150">
        <v>3.5999999999999997E-2</v>
      </c>
      <c r="L39" s="144">
        <v>3.5999999999999997E-2</v>
      </c>
      <c r="M39" s="144">
        <v>3.6999999999999998E-2</v>
      </c>
      <c r="N39" s="148">
        <v>3.9E-2</v>
      </c>
      <c r="O39" s="150">
        <v>0.04</v>
      </c>
      <c r="P39" s="144">
        <v>4.1000000000000002E-2</v>
      </c>
      <c r="Q39" s="144">
        <v>4.2999999999999997E-2</v>
      </c>
      <c r="R39" s="144">
        <v>4.4980504579293597E-2</v>
      </c>
      <c r="S39" s="150">
        <v>4.6196425213479463E-2</v>
      </c>
      <c r="T39" s="144">
        <v>4.7571530419461848E-2</v>
      </c>
      <c r="U39" s="144">
        <v>4.8480743478434819E-2</v>
      </c>
      <c r="V39" s="148">
        <v>0.05</v>
      </c>
      <c r="W39" s="148">
        <v>0.05</v>
      </c>
      <c r="Y39" s="126">
        <v>1.9E-2</v>
      </c>
      <c r="Z39" s="127">
        <v>2.5999999999999999E-2</v>
      </c>
      <c r="AA39" s="126">
        <v>2.9000000000000001E-2</v>
      </c>
      <c r="AB39" s="127">
        <v>0.03</v>
      </c>
      <c r="AC39" s="127">
        <v>3.5000000000000003E-2</v>
      </c>
      <c r="AD39" s="127">
        <v>3.9E-2</v>
      </c>
      <c r="AE39" s="127">
        <v>4.4980504579293597E-2</v>
      </c>
      <c r="AF39" s="128">
        <v>0.05</v>
      </c>
    </row>
    <row r="40" spans="2:34" x14ac:dyDescent="0.25">
      <c r="B40" s="79" t="s">
        <v>39</v>
      </c>
      <c r="C40" s="344">
        <v>0</v>
      </c>
      <c r="D40" s="144">
        <v>2.5645817441113976E-4</v>
      </c>
      <c r="E40" s="144">
        <v>1.6233049254204682E-3</v>
      </c>
      <c r="F40" s="144">
        <v>3.2535926532100716E-3</v>
      </c>
      <c r="G40" s="144">
        <v>5.5037357337434818E-3</v>
      </c>
      <c r="H40" s="144">
        <v>7.9148096116058216E-3</v>
      </c>
      <c r="I40" s="144">
        <v>1.0153277748805459E-2</v>
      </c>
      <c r="J40" s="144">
        <v>1.2858942845558602E-2</v>
      </c>
      <c r="K40" s="150">
        <v>1.5422469746744064E-2</v>
      </c>
      <c r="L40" s="144">
        <v>1.8360540287506232E-2</v>
      </c>
      <c r="M40" s="144">
        <v>2.1344245144726784E-2</v>
      </c>
      <c r="N40" s="148">
        <v>2.4703337043044688E-2</v>
      </c>
      <c r="O40" s="150">
        <v>2.7365458259587166E-2</v>
      </c>
      <c r="P40" s="144">
        <v>2.9420091151954594E-2</v>
      </c>
      <c r="Q40" s="144">
        <v>3.1E-2</v>
      </c>
      <c r="R40" s="144">
        <v>3.2749956170807497E-2</v>
      </c>
      <c r="S40" s="150">
        <v>3.3819196998992267E-2</v>
      </c>
      <c r="T40" s="144">
        <v>3.5828789862672066E-2</v>
      </c>
      <c r="U40" s="144">
        <v>3.6864699694155005E-2</v>
      </c>
      <c r="V40" s="148">
        <v>3.7999999999999999E-2</v>
      </c>
      <c r="W40" s="148">
        <v>3.9E-2</v>
      </c>
      <c r="Y40" s="79">
        <v>0</v>
      </c>
      <c r="Z40" s="149">
        <v>0</v>
      </c>
      <c r="AA40" s="79">
        <v>0</v>
      </c>
      <c r="AB40" s="127">
        <v>3.0000000000000001E-3</v>
      </c>
      <c r="AC40" s="127">
        <v>1.2999999999999999E-2</v>
      </c>
      <c r="AD40" s="127">
        <v>2.5000000000000001E-2</v>
      </c>
      <c r="AE40" s="127">
        <v>3.2749956170807497E-2</v>
      </c>
      <c r="AF40" s="128">
        <v>3.7999999999999999E-2</v>
      </c>
    </row>
    <row r="41" spans="2:34" x14ac:dyDescent="0.25">
      <c r="B41" s="79" t="s">
        <v>157</v>
      </c>
      <c r="C41" s="144">
        <f>100%-SUM(C33:C40)</f>
        <v>2.5894280205784548E-2</v>
      </c>
      <c r="D41" s="144">
        <f>100%-SUM(D33:D40)</f>
        <v>2.7549584662295512E-2</v>
      </c>
      <c r="E41" s="144">
        <f>100%-SUM(E33:E40)</f>
        <v>2.8956735141163148E-2</v>
      </c>
      <c r="F41" s="144">
        <f>100%-SUM(F33:F40)</f>
        <v>2.9853953065112404E-2</v>
      </c>
      <c r="G41" s="144">
        <v>3.0589865166174568E-2</v>
      </c>
      <c r="H41" s="144">
        <v>3.1586829799282179E-2</v>
      </c>
      <c r="I41" s="144">
        <v>3.2551096383304001E-2</v>
      </c>
      <c r="J41" s="144">
        <v>3.3668111187450278E-2</v>
      </c>
      <c r="K41" s="150">
        <v>3.508952057599013E-2</v>
      </c>
      <c r="L41" s="144">
        <v>3.5690336773579578E-2</v>
      </c>
      <c r="M41" s="144">
        <v>3.5871179079598248E-2</v>
      </c>
      <c r="N41" s="148">
        <v>3.5553164066460252E-2</v>
      </c>
      <c r="O41" s="150">
        <v>3.5998848802645811E-2</v>
      </c>
      <c r="P41" s="144">
        <v>3.6645536191899808E-2</v>
      </c>
      <c r="Q41" s="144">
        <v>3.6999999999999811E-2</v>
      </c>
      <c r="R41" s="144">
        <v>3.7007019526762441E-2</v>
      </c>
      <c r="S41" s="150">
        <v>3.7445093226999515E-2</v>
      </c>
      <c r="T41" s="144">
        <v>3.7389862277977692E-2</v>
      </c>
      <c r="U41" s="144">
        <v>3.7724027410350525E-2</v>
      </c>
      <c r="V41" s="148">
        <v>3.7999999999999812E-2</v>
      </c>
      <c r="W41" s="148">
        <v>3.9999999999999925E-2</v>
      </c>
      <c r="Y41" s="150">
        <v>8.999999999999897E-3</v>
      </c>
      <c r="Z41" s="144">
        <v>1.6999999999999904E-2</v>
      </c>
      <c r="AA41" s="150">
        <v>2.49999999999998E-2</v>
      </c>
      <c r="AB41" s="144">
        <v>3.0999999999999917E-2</v>
      </c>
      <c r="AC41" s="144">
        <v>3.1999999999999806E-2</v>
      </c>
      <c r="AD41" s="144">
        <v>3.499999999999992E-2</v>
      </c>
      <c r="AE41" s="144">
        <v>3.7007019526762441E-2</v>
      </c>
      <c r="AF41" s="148">
        <v>3.7999999999999812E-2</v>
      </c>
      <c r="AG41" s="144"/>
      <c r="AH41" s="144"/>
    </row>
    <row r="42" spans="2:34" s="154" customFormat="1" x14ac:dyDescent="0.25">
      <c r="B42" s="471" t="s">
        <v>24</v>
      </c>
      <c r="C42" s="472">
        <f>SUM(C33:C41)</f>
        <v>1</v>
      </c>
      <c r="D42" s="472">
        <f>SUM(D33:D41)</f>
        <v>1</v>
      </c>
      <c r="E42" s="472">
        <f>SUM(E33:E41)</f>
        <v>1</v>
      </c>
      <c r="F42" s="472">
        <f>SUM(F33:F41)</f>
        <v>1</v>
      </c>
      <c r="G42" s="472">
        <v>1.0000000000000002</v>
      </c>
      <c r="H42" s="472">
        <v>1.0000000000000002</v>
      </c>
      <c r="I42" s="472">
        <v>1</v>
      </c>
      <c r="J42" s="472">
        <v>0.99999999999999989</v>
      </c>
      <c r="K42" s="471">
        <v>1</v>
      </c>
      <c r="L42" s="472">
        <v>0.99999999999999989</v>
      </c>
      <c r="M42" s="472">
        <v>1.0000000000000002</v>
      </c>
      <c r="N42" s="473">
        <v>1</v>
      </c>
      <c r="O42" s="151">
        <v>1.0000000000000002</v>
      </c>
      <c r="P42" s="152">
        <v>1</v>
      </c>
      <c r="Q42" s="152">
        <v>1</v>
      </c>
      <c r="R42" s="152">
        <v>1</v>
      </c>
      <c r="S42" s="151">
        <v>1</v>
      </c>
      <c r="T42" s="152">
        <f>SUM(T33:T41)</f>
        <v>1</v>
      </c>
      <c r="U42" s="152">
        <f>SUM(U33:U41)</f>
        <v>1</v>
      </c>
      <c r="V42" s="153">
        <f>SUM(V33:V41)</f>
        <v>1</v>
      </c>
      <c r="W42" s="153">
        <f>SUM(W33:W41)</f>
        <v>1</v>
      </c>
      <c r="Y42" s="151">
        <v>1</v>
      </c>
      <c r="Z42" s="152">
        <v>1.0010000000000001</v>
      </c>
      <c r="AA42" s="151">
        <v>0.99900000000000022</v>
      </c>
      <c r="AB42" s="152">
        <v>0.99900000000000011</v>
      </c>
      <c r="AC42" s="152">
        <v>1.0020000000000002</v>
      </c>
      <c r="AD42" s="152">
        <v>1</v>
      </c>
      <c r="AE42" s="152">
        <v>1</v>
      </c>
      <c r="AF42" s="153">
        <v>1</v>
      </c>
    </row>
    <row r="43" spans="2:34" x14ac:dyDescent="0.25">
      <c r="B43" s="78"/>
      <c r="C43" s="340"/>
      <c r="D43" s="340"/>
      <c r="E43" s="340"/>
      <c r="F43" s="340"/>
      <c r="G43" s="138"/>
      <c r="H43" s="138"/>
      <c r="I43" s="138"/>
      <c r="J43" s="138"/>
      <c r="K43" s="138"/>
      <c r="L43" s="138"/>
      <c r="M43" s="138"/>
      <c r="N43" s="138"/>
      <c r="O43" s="144"/>
      <c r="P43" s="144"/>
      <c r="Q43" s="144"/>
      <c r="R43" s="144"/>
      <c r="S43" s="144"/>
      <c r="T43" s="144"/>
      <c r="U43" s="144"/>
      <c r="V43" s="144"/>
      <c r="W43" s="144"/>
      <c r="Y43" s="149"/>
      <c r="Z43" s="149"/>
      <c r="AA43" s="149"/>
      <c r="AB43" s="127"/>
      <c r="AC43" s="127"/>
      <c r="AD43" s="127"/>
      <c r="AE43" s="127"/>
      <c r="AF43" s="127"/>
    </row>
    <row r="44" spans="2:34" x14ac:dyDescent="0.25">
      <c r="B44" s="155" t="s">
        <v>48</v>
      </c>
      <c r="C44" s="339"/>
      <c r="D44" s="339"/>
      <c r="E44" s="339"/>
      <c r="F44" s="339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2"/>
      <c r="W44" s="122"/>
      <c r="Y44" s="120"/>
      <c r="Z44" s="121"/>
      <c r="AA44" s="120"/>
      <c r="AB44" s="121"/>
      <c r="AC44" s="121"/>
      <c r="AD44" s="121"/>
      <c r="AE44" s="121"/>
      <c r="AF44" s="122"/>
    </row>
    <row r="45" spans="2:34" x14ac:dyDescent="0.25">
      <c r="B45" s="79" t="s">
        <v>36</v>
      </c>
      <c r="C45" s="117">
        <v>96</v>
      </c>
      <c r="D45" s="117">
        <v>96</v>
      </c>
      <c r="E45" s="117">
        <v>96</v>
      </c>
      <c r="F45" s="117">
        <v>99</v>
      </c>
      <c r="G45" s="117">
        <v>100</v>
      </c>
      <c r="H45" s="117">
        <v>100</v>
      </c>
      <c r="I45" s="117">
        <v>100</v>
      </c>
      <c r="J45" s="117">
        <v>102</v>
      </c>
      <c r="K45" s="119">
        <v>102</v>
      </c>
      <c r="L45" s="8">
        <v>102</v>
      </c>
      <c r="M45" s="8">
        <v>103</v>
      </c>
      <c r="N45" s="118">
        <v>108</v>
      </c>
      <c r="O45" s="119">
        <v>109</v>
      </c>
      <c r="P45" s="117">
        <v>109</v>
      </c>
      <c r="Q45" s="117">
        <v>109</v>
      </c>
      <c r="R45" s="117">
        <v>109</v>
      </c>
      <c r="S45" s="116">
        <v>109</v>
      </c>
      <c r="T45" s="114">
        <v>109</v>
      </c>
      <c r="U45" s="114">
        <v>108</v>
      </c>
      <c r="V45" s="115">
        <v>111</v>
      </c>
      <c r="W45" s="115">
        <v>110</v>
      </c>
      <c r="X45" s="154"/>
      <c r="Y45" s="119">
        <v>78</v>
      </c>
      <c r="Z45" s="117">
        <v>88</v>
      </c>
      <c r="AA45" s="119">
        <v>95</v>
      </c>
      <c r="AB45" s="117">
        <v>99</v>
      </c>
      <c r="AC45" s="117">
        <v>102</v>
      </c>
      <c r="AD45" s="117">
        <v>108</v>
      </c>
      <c r="AE45" s="117">
        <v>109</v>
      </c>
      <c r="AF45" s="118">
        <v>111</v>
      </c>
    </row>
    <row r="46" spans="2:34" x14ac:dyDescent="0.25">
      <c r="B46" s="79" t="s">
        <v>37</v>
      </c>
      <c r="C46" s="117">
        <v>44</v>
      </c>
      <c r="D46" s="117">
        <v>44</v>
      </c>
      <c r="E46" s="117">
        <v>44</v>
      </c>
      <c r="F46" s="117">
        <v>45</v>
      </c>
      <c r="G46" s="117">
        <v>46</v>
      </c>
      <c r="H46" s="117">
        <v>48</v>
      </c>
      <c r="I46" s="117">
        <v>48</v>
      </c>
      <c r="J46" s="117">
        <v>48</v>
      </c>
      <c r="K46" s="119">
        <v>48</v>
      </c>
      <c r="L46" s="8">
        <v>48</v>
      </c>
      <c r="M46" s="8">
        <v>48</v>
      </c>
      <c r="N46" s="118">
        <v>49</v>
      </c>
      <c r="O46" s="119">
        <v>49</v>
      </c>
      <c r="P46" s="117">
        <v>49</v>
      </c>
      <c r="Q46" s="117">
        <v>50</v>
      </c>
      <c r="R46" s="117">
        <v>51</v>
      </c>
      <c r="S46" s="119">
        <v>51</v>
      </c>
      <c r="T46" s="117">
        <v>51</v>
      </c>
      <c r="U46" s="117">
        <v>50</v>
      </c>
      <c r="V46" s="118">
        <v>50</v>
      </c>
      <c r="W46" s="118">
        <v>50</v>
      </c>
      <c r="X46" s="154"/>
      <c r="Y46" s="119">
        <v>38</v>
      </c>
      <c r="Z46" s="117">
        <v>42</v>
      </c>
      <c r="AA46" s="119">
        <v>44</v>
      </c>
      <c r="AB46" s="117">
        <v>45</v>
      </c>
      <c r="AC46" s="117">
        <v>48</v>
      </c>
      <c r="AD46" s="117">
        <v>49</v>
      </c>
      <c r="AE46" s="117">
        <v>51</v>
      </c>
      <c r="AF46" s="118">
        <v>50</v>
      </c>
    </row>
    <row r="47" spans="2:34" x14ac:dyDescent="0.25">
      <c r="B47" s="79" t="s">
        <v>40</v>
      </c>
      <c r="C47" s="117">
        <v>40</v>
      </c>
      <c r="D47" s="117">
        <v>40</v>
      </c>
      <c r="E47" s="117">
        <v>40</v>
      </c>
      <c r="F47" s="117">
        <v>42</v>
      </c>
      <c r="G47" s="117">
        <v>44</v>
      </c>
      <c r="H47" s="117">
        <v>44</v>
      </c>
      <c r="I47" s="117">
        <v>44</v>
      </c>
      <c r="J47" s="117">
        <v>44</v>
      </c>
      <c r="K47" s="119">
        <v>44</v>
      </c>
      <c r="L47" s="8">
        <v>44</v>
      </c>
      <c r="M47" s="8">
        <v>44</v>
      </c>
      <c r="N47" s="118">
        <v>45</v>
      </c>
      <c r="O47" s="119">
        <v>45</v>
      </c>
      <c r="P47" s="117">
        <v>45</v>
      </c>
      <c r="Q47" s="117">
        <v>45</v>
      </c>
      <c r="R47" s="117">
        <v>46</v>
      </c>
      <c r="S47" s="119">
        <v>46</v>
      </c>
      <c r="T47" s="117">
        <v>46</v>
      </c>
      <c r="U47" s="117">
        <v>45</v>
      </c>
      <c r="V47" s="118">
        <v>55</v>
      </c>
      <c r="W47" s="118">
        <v>57</v>
      </c>
      <c r="X47" s="154"/>
      <c r="Y47" s="119">
        <v>32</v>
      </c>
      <c r="Z47" s="117">
        <v>37</v>
      </c>
      <c r="AA47" s="119">
        <v>39</v>
      </c>
      <c r="AB47" s="117">
        <v>42</v>
      </c>
      <c r="AC47" s="117">
        <v>44</v>
      </c>
      <c r="AD47" s="117">
        <v>45</v>
      </c>
      <c r="AE47" s="117">
        <v>46</v>
      </c>
      <c r="AF47" s="118">
        <v>55</v>
      </c>
    </row>
    <row r="48" spans="2:34" x14ac:dyDescent="0.25">
      <c r="B48" s="79" t="s">
        <v>38</v>
      </c>
      <c r="C48" s="117">
        <v>40</v>
      </c>
      <c r="D48" s="117">
        <v>40</v>
      </c>
      <c r="E48" s="117">
        <v>40</v>
      </c>
      <c r="F48" s="117">
        <v>45</v>
      </c>
      <c r="G48" s="117">
        <v>45</v>
      </c>
      <c r="H48" s="117">
        <v>46</v>
      </c>
      <c r="I48" s="117">
        <v>46</v>
      </c>
      <c r="J48" s="117">
        <v>49</v>
      </c>
      <c r="K48" s="119">
        <v>49</v>
      </c>
      <c r="L48" s="8">
        <v>49</v>
      </c>
      <c r="M48" s="8">
        <v>49</v>
      </c>
      <c r="N48" s="118">
        <v>51</v>
      </c>
      <c r="O48" s="119">
        <v>51</v>
      </c>
      <c r="P48" s="117">
        <v>51</v>
      </c>
      <c r="Q48" s="117">
        <v>51</v>
      </c>
      <c r="R48" s="117">
        <v>55</v>
      </c>
      <c r="S48" s="119">
        <v>55</v>
      </c>
      <c r="T48" s="117">
        <v>55</v>
      </c>
      <c r="U48" s="117">
        <v>55</v>
      </c>
      <c r="V48" s="118">
        <v>55</v>
      </c>
      <c r="W48" s="118">
        <v>55</v>
      </c>
      <c r="X48" s="154"/>
      <c r="Y48" s="119">
        <v>32</v>
      </c>
      <c r="Z48" s="117">
        <v>36</v>
      </c>
      <c r="AA48" s="119">
        <v>40</v>
      </c>
      <c r="AB48" s="117">
        <v>45</v>
      </c>
      <c r="AC48" s="117">
        <v>49</v>
      </c>
      <c r="AD48" s="117">
        <v>51</v>
      </c>
      <c r="AE48" s="117">
        <v>55</v>
      </c>
      <c r="AF48" s="118">
        <v>55</v>
      </c>
    </row>
    <row r="49" spans="2:32" x14ac:dyDescent="0.25">
      <c r="B49" s="79" t="s">
        <v>43</v>
      </c>
      <c r="C49" s="117">
        <v>4</v>
      </c>
      <c r="D49" s="117">
        <v>4</v>
      </c>
      <c r="E49" s="117">
        <v>4</v>
      </c>
      <c r="F49" s="117">
        <v>4</v>
      </c>
      <c r="G49" s="117">
        <v>4</v>
      </c>
      <c r="H49" s="117">
        <v>4</v>
      </c>
      <c r="I49" s="117">
        <v>4</v>
      </c>
      <c r="J49" s="117">
        <v>4</v>
      </c>
      <c r="K49" s="119">
        <v>5</v>
      </c>
      <c r="L49" s="8">
        <v>5</v>
      </c>
      <c r="M49" s="8">
        <v>5</v>
      </c>
      <c r="N49" s="118">
        <v>5</v>
      </c>
      <c r="O49" s="119">
        <v>5</v>
      </c>
      <c r="P49" s="117">
        <v>5</v>
      </c>
      <c r="Q49" s="117">
        <v>5</v>
      </c>
      <c r="R49" s="117">
        <v>5</v>
      </c>
      <c r="S49" s="119">
        <v>5</v>
      </c>
      <c r="T49" s="117">
        <v>5</v>
      </c>
      <c r="U49" s="117">
        <v>5</v>
      </c>
      <c r="V49" s="118">
        <v>5</v>
      </c>
      <c r="W49" s="118">
        <v>5</v>
      </c>
      <c r="X49" s="154"/>
      <c r="Y49" s="119">
        <v>2</v>
      </c>
      <c r="Z49" s="117">
        <v>4</v>
      </c>
      <c r="AA49" s="119">
        <v>4</v>
      </c>
      <c r="AB49" s="117">
        <v>4</v>
      </c>
      <c r="AC49" s="117">
        <v>4</v>
      </c>
      <c r="AD49" s="117">
        <v>5</v>
      </c>
      <c r="AE49" s="117">
        <v>5</v>
      </c>
      <c r="AF49" s="118">
        <v>5</v>
      </c>
    </row>
    <row r="50" spans="2:32" x14ac:dyDescent="0.25">
      <c r="B50" s="79" t="s">
        <v>44</v>
      </c>
      <c r="C50" s="117">
        <v>15</v>
      </c>
      <c r="D50" s="117">
        <v>15</v>
      </c>
      <c r="E50" s="117">
        <v>15</v>
      </c>
      <c r="F50" s="117">
        <v>17</v>
      </c>
      <c r="G50" s="117">
        <v>17</v>
      </c>
      <c r="H50" s="117">
        <v>17</v>
      </c>
      <c r="I50" s="117">
        <v>17</v>
      </c>
      <c r="J50" s="117">
        <v>17</v>
      </c>
      <c r="K50" s="119">
        <v>17</v>
      </c>
      <c r="L50" s="8">
        <v>17</v>
      </c>
      <c r="M50" s="8">
        <v>17</v>
      </c>
      <c r="N50" s="118">
        <v>18</v>
      </c>
      <c r="O50" s="119">
        <v>18</v>
      </c>
      <c r="P50" s="117">
        <v>18</v>
      </c>
      <c r="Q50" s="117">
        <v>18</v>
      </c>
      <c r="R50" s="117">
        <v>20</v>
      </c>
      <c r="S50" s="119">
        <v>20</v>
      </c>
      <c r="T50" s="117">
        <v>20</v>
      </c>
      <c r="U50" s="117">
        <v>20</v>
      </c>
      <c r="V50" s="118">
        <v>20</v>
      </c>
      <c r="W50" s="118">
        <v>20</v>
      </c>
      <c r="X50" s="154"/>
      <c r="Y50" s="119">
        <v>11</v>
      </c>
      <c r="Z50" s="117">
        <v>14</v>
      </c>
      <c r="AA50" s="119">
        <v>15</v>
      </c>
      <c r="AB50" s="117">
        <v>17</v>
      </c>
      <c r="AC50" s="117">
        <v>17</v>
      </c>
      <c r="AD50" s="117">
        <v>18</v>
      </c>
      <c r="AE50" s="117">
        <v>20</v>
      </c>
      <c r="AF50" s="118">
        <v>20</v>
      </c>
    </row>
    <row r="51" spans="2:32" x14ac:dyDescent="0.25">
      <c r="B51" s="79" t="s">
        <v>41</v>
      </c>
      <c r="C51" s="117">
        <v>22</v>
      </c>
      <c r="D51" s="117">
        <v>22</v>
      </c>
      <c r="E51" s="117">
        <v>22</v>
      </c>
      <c r="F51" s="117">
        <v>24</v>
      </c>
      <c r="G51" s="117">
        <v>24</v>
      </c>
      <c r="H51" s="117">
        <v>24</v>
      </c>
      <c r="I51" s="117">
        <v>24</v>
      </c>
      <c r="J51" s="117">
        <v>27</v>
      </c>
      <c r="K51" s="119">
        <v>28</v>
      </c>
      <c r="L51" s="8">
        <v>30</v>
      </c>
      <c r="M51" s="8">
        <v>30</v>
      </c>
      <c r="N51" s="118">
        <v>32</v>
      </c>
      <c r="O51" s="119">
        <v>33</v>
      </c>
      <c r="P51" s="117">
        <v>33</v>
      </c>
      <c r="Q51" s="117">
        <v>33</v>
      </c>
      <c r="R51" s="117">
        <v>39</v>
      </c>
      <c r="S51" s="119">
        <v>39</v>
      </c>
      <c r="T51" s="117">
        <v>39</v>
      </c>
      <c r="U51" s="117">
        <v>39</v>
      </c>
      <c r="V51" s="118">
        <v>48</v>
      </c>
      <c r="W51" s="118">
        <v>51</v>
      </c>
      <c r="X51" s="154"/>
      <c r="Y51" s="119">
        <v>6</v>
      </c>
      <c r="Z51" s="117">
        <v>15</v>
      </c>
      <c r="AA51" s="119">
        <v>21</v>
      </c>
      <c r="AB51" s="117">
        <v>24</v>
      </c>
      <c r="AC51" s="117">
        <v>27</v>
      </c>
      <c r="AD51" s="117">
        <v>32</v>
      </c>
      <c r="AE51" s="117">
        <v>39</v>
      </c>
      <c r="AF51" s="118">
        <v>48</v>
      </c>
    </row>
    <row r="52" spans="2:32" x14ac:dyDescent="0.25">
      <c r="B52" s="79" t="s">
        <v>45</v>
      </c>
      <c r="C52" s="117">
        <v>7</v>
      </c>
      <c r="D52" s="117">
        <v>7</v>
      </c>
      <c r="E52" s="117">
        <v>7</v>
      </c>
      <c r="F52" s="117">
        <v>8</v>
      </c>
      <c r="G52" s="117">
        <v>8</v>
      </c>
      <c r="H52" s="117">
        <v>8</v>
      </c>
      <c r="I52" s="117">
        <v>8</v>
      </c>
      <c r="J52" s="117">
        <v>9</v>
      </c>
      <c r="K52" s="119">
        <v>9</v>
      </c>
      <c r="L52" s="8">
        <v>9</v>
      </c>
      <c r="M52" s="8">
        <v>9</v>
      </c>
      <c r="N52" s="118">
        <v>9</v>
      </c>
      <c r="O52" s="119">
        <v>9</v>
      </c>
      <c r="P52" s="117">
        <v>9</v>
      </c>
      <c r="Q52" s="117">
        <v>9</v>
      </c>
      <c r="R52" s="117">
        <v>9</v>
      </c>
      <c r="S52" s="119">
        <v>9</v>
      </c>
      <c r="T52" s="117">
        <v>9</v>
      </c>
      <c r="U52" s="117">
        <v>9</v>
      </c>
      <c r="V52" s="118">
        <v>9</v>
      </c>
      <c r="W52" s="118">
        <v>9</v>
      </c>
      <c r="X52" s="154"/>
      <c r="Y52" s="119">
        <v>5</v>
      </c>
      <c r="Z52" s="117">
        <v>5</v>
      </c>
      <c r="AA52" s="119">
        <v>7</v>
      </c>
      <c r="AB52" s="117">
        <v>8</v>
      </c>
      <c r="AC52" s="117">
        <v>9</v>
      </c>
      <c r="AD52" s="117">
        <v>9</v>
      </c>
      <c r="AE52" s="117">
        <v>9</v>
      </c>
      <c r="AF52" s="118">
        <v>9</v>
      </c>
    </row>
    <row r="53" spans="2:32" x14ac:dyDescent="0.25">
      <c r="B53" s="79" t="s">
        <v>46</v>
      </c>
      <c r="C53" s="117">
        <v>2</v>
      </c>
      <c r="D53" s="117">
        <v>2</v>
      </c>
      <c r="E53" s="117">
        <v>2</v>
      </c>
      <c r="F53" s="117">
        <v>2</v>
      </c>
      <c r="G53" s="117">
        <v>2</v>
      </c>
      <c r="H53" s="117">
        <v>2</v>
      </c>
      <c r="I53" s="117">
        <v>2</v>
      </c>
      <c r="J53" s="117">
        <v>3</v>
      </c>
      <c r="K53" s="119">
        <v>3</v>
      </c>
      <c r="L53" s="8">
        <v>3</v>
      </c>
      <c r="M53" s="8">
        <v>3</v>
      </c>
      <c r="N53" s="118">
        <v>5</v>
      </c>
      <c r="O53" s="119">
        <v>5</v>
      </c>
      <c r="P53" s="117">
        <v>5</v>
      </c>
      <c r="Q53" s="117">
        <v>5</v>
      </c>
      <c r="R53" s="117">
        <v>5</v>
      </c>
      <c r="S53" s="119">
        <v>5</v>
      </c>
      <c r="T53" s="117">
        <v>5</v>
      </c>
      <c r="U53" s="117">
        <v>5</v>
      </c>
      <c r="V53" s="118">
        <v>4</v>
      </c>
      <c r="W53" s="118">
        <v>5</v>
      </c>
      <c r="X53" s="154"/>
      <c r="Y53" s="119">
        <v>1</v>
      </c>
      <c r="Z53" s="117">
        <v>1</v>
      </c>
      <c r="AA53" s="119">
        <v>2</v>
      </c>
      <c r="AB53" s="117">
        <v>2</v>
      </c>
      <c r="AC53" s="117">
        <v>3</v>
      </c>
      <c r="AD53" s="117">
        <v>5</v>
      </c>
      <c r="AE53" s="117">
        <v>5</v>
      </c>
      <c r="AF53" s="118">
        <v>4</v>
      </c>
    </row>
    <row r="54" spans="2:32" x14ac:dyDescent="0.25">
      <c r="B54" s="79" t="s">
        <v>42</v>
      </c>
      <c r="C54" s="117">
        <v>9</v>
      </c>
      <c r="D54" s="117">
        <v>9</v>
      </c>
      <c r="E54" s="117">
        <v>9</v>
      </c>
      <c r="F54" s="117">
        <v>9</v>
      </c>
      <c r="G54" s="117">
        <v>9</v>
      </c>
      <c r="H54" s="117">
        <v>9</v>
      </c>
      <c r="I54" s="117">
        <v>9</v>
      </c>
      <c r="J54" s="117">
        <v>9</v>
      </c>
      <c r="K54" s="119">
        <v>9</v>
      </c>
      <c r="L54" s="8">
        <v>9</v>
      </c>
      <c r="M54" s="8">
        <v>9</v>
      </c>
      <c r="N54" s="118">
        <v>9</v>
      </c>
      <c r="O54" s="119">
        <v>9</v>
      </c>
      <c r="P54" s="117">
        <v>9</v>
      </c>
      <c r="Q54" s="117">
        <v>9</v>
      </c>
      <c r="R54" s="117">
        <v>9</v>
      </c>
      <c r="S54" s="119">
        <v>9</v>
      </c>
      <c r="T54" s="117">
        <v>9</v>
      </c>
      <c r="U54" s="117">
        <v>9</v>
      </c>
      <c r="V54" s="118">
        <v>9</v>
      </c>
      <c r="W54" s="118">
        <v>9</v>
      </c>
      <c r="X54" s="154"/>
      <c r="Y54" s="119">
        <v>5</v>
      </c>
      <c r="Z54" s="117">
        <v>8</v>
      </c>
      <c r="AA54" s="119">
        <v>9</v>
      </c>
      <c r="AB54" s="117">
        <v>9</v>
      </c>
      <c r="AC54" s="117">
        <v>9</v>
      </c>
      <c r="AD54" s="117">
        <v>9</v>
      </c>
      <c r="AE54" s="117">
        <v>9</v>
      </c>
      <c r="AF54" s="118">
        <v>9</v>
      </c>
    </row>
    <row r="55" spans="2:32" x14ac:dyDescent="0.25">
      <c r="B55" s="79" t="s">
        <v>116</v>
      </c>
      <c r="C55" s="117">
        <v>4</v>
      </c>
      <c r="D55" s="117">
        <v>4</v>
      </c>
      <c r="E55" s="117">
        <v>4</v>
      </c>
      <c r="F55" s="117">
        <v>4</v>
      </c>
      <c r="G55" s="117">
        <v>4</v>
      </c>
      <c r="H55" s="117">
        <v>4</v>
      </c>
      <c r="I55" s="117">
        <v>4</v>
      </c>
      <c r="J55" s="117">
        <v>4</v>
      </c>
      <c r="K55" s="119">
        <v>4</v>
      </c>
      <c r="L55" s="8">
        <v>4</v>
      </c>
      <c r="M55" s="8">
        <v>4</v>
      </c>
      <c r="N55" s="118">
        <v>4</v>
      </c>
      <c r="O55" s="119">
        <v>4</v>
      </c>
      <c r="P55" s="117">
        <v>4</v>
      </c>
      <c r="Q55" s="117">
        <v>4</v>
      </c>
      <c r="R55" s="117">
        <v>4</v>
      </c>
      <c r="S55" s="119">
        <v>4</v>
      </c>
      <c r="T55" s="117">
        <v>4</v>
      </c>
      <c r="U55" s="117">
        <v>4</v>
      </c>
      <c r="V55" s="118">
        <v>4</v>
      </c>
      <c r="W55" s="118">
        <v>4</v>
      </c>
      <c r="X55" s="154"/>
      <c r="Y55" s="119">
        <v>0</v>
      </c>
      <c r="Z55" s="117">
        <v>0</v>
      </c>
      <c r="AA55" s="119">
        <v>4</v>
      </c>
      <c r="AB55" s="117">
        <v>4</v>
      </c>
      <c r="AC55" s="117">
        <v>4</v>
      </c>
      <c r="AD55" s="117">
        <v>4</v>
      </c>
      <c r="AE55" s="117">
        <v>4</v>
      </c>
      <c r="AF55" s="118">
        <v>4</v>
      </c>
    </row>
    <row r="56" spans="2:32" x14ac:dyDescent="0.25">
      <c r="B56" s="79" t="s">
        <v>39</v>
      </c>
      <c r="C56" s="117">
        <v>0</v>
      </c>
      <c r="D56" s="117">
        <v>11</v>
      </c>
      <c r="E56" s="117">
        <v>11</v>
      </c>
      <c r="F56" s="117">
        <v>11</v>
      </c>
      <c r="G56" s="117">
        <v>11</v>
      </c>
      <c r="H56" s="117">
        <v>11</v>
      </c>
      <c r="I56" s="117">
        <v>11</v>
      </c>
      <c r="J56" s="117">
        <v>24</v>
      </c>
      <c r="K56" s="119">
        <v>24</v>
      </c>
      <c r="L56" s="8">
        <v>24</v>
      </c>
      <c r="M56" s="8">
        <v>24</v>
      </c>
      <c r="N56" s="118">
        <v>26</v>
      </c>
      <c r="O56" s="119">
        <v>28</v>
      </c>
      <c r="P56" s="117">
        <v>28</v>
      </c>
      <c r="Q56" s="117">
        <v>28</v>
      </c>
      <c r="R56" s="117">
        <v>38</v>
      </c>
      <c r="S56" s="119">
        <v>38</v>
      </c>
      <c r="T56" s="117">
        <v>38</v>
      </c>
      <c r="U56" s="117">
        <v>38</v>
      </c>
      <c r="V56" s="118">
        <v>38</v>
      </c>
      <c r="W56" s="118">
        <v>38</v>
      </c>
      <c r="X56" s="154"/>
      <c r="Y56" s="119">
        <v>0</v>
      </c>
      <c r="Z56" s="117">
        <v>0</v>
      </c>
      <c r="AA56" s="119">
        <v>0</v>
      </c>
      <c r="AB56" s="117">
        <v>11</v>
      </c>
      <c r="AC56" s="117">
        <v>24</v>
      </c>
      <c r="AD56" s="117">
        <v>26</v>
      </c>
      <c r="AE56" s="117">
        <v>38</v>
      </c>
      <c r="AF56" s="118">
        <v>38</v>
      </c>
    </row>
    <row r="57" spans="2:32" x14ac:dyDescent="0.25">
      <c r="B57" s="79" t="s">
        <v>47</v>
      </c>
      <c r="C57" s="117">
        <v>0</v>
      </c>
      <c r="D57" s="117">
        <v>3</v>
      </c>
      <c r="E57" s="117">
        <v>4</v>
      </c>
      <c r="F57" s="117">
        <v>4</v>
      </c>
      <c r="G57" s="117">
        <v>4</v>
      </c>
      <c r="H57" s="117">
        <v>4</v>
      </c>
      <c r="I57" s="117">
        <v>4</v>
      </c>
      <c r="J57" s="117">
        <v>6</v>
      </c>
      <c r="K57" s="119">
        <v>6</v>
      </c>
      <c r="L57" s="8">
        <v>6</v>
      </c>
      <c r="M57" s="8">
        <v>6</v>
      </c>
      <c r="N57" s="118">
        <v>6</v>
      </c>
      <c r="O57" s="119">
        <v>6</v>
      </c>
      <c r="P57" s="117">
        <v>6</v>
      </c>
      <c r="Q57" s="117">
        <v>6</v>
      </c>
      <c r="R57" s="117">
        <v>6</v>
      </c>
      <c r="S57" s="119">
        <v>6</v>
      </c>
      <c r="T57" s="117">
        <v>6</v>
      </c>
      <c r="U57" s="117">
        <v>6</v>
      </c>
      <c r="V57" s="118">
        <v>6</v>
      </c>
      <c r="W57" s="118">
        <v>6</v>
      </c>
      <c r="X57" s="154"/>
      <c r="Y57" s="119">
        <v>0</v>
      </c>
      <c r="Z57" s="117">
        <v>0</v>
      </c>
      <c r="AA57" s="119">
        <v>0</v>
      </c>
      <c r="AB57" s="117">
        <v>4</v>
      </c>
      <c r="AC57" s="117">
        <v>6</v>
      </c>
      <c r="AD57" s="117">
        <v>6</v>
      </c>
      <c r="AE57" s="117">
        <v>6</v>
      </c>
      <c r="AF57" s="118">
        <v>6</v>
      </c>
    </row>
    <row r="58" spans="2:32" x14ac:dyDescent="0.25">
      <c r="B58" s="79" t="s">
        <v>133</v>
      </c>
      <c r="C58" s="117">
        <v>0</v>
      </c>
      <c r="D58" s="117">
        <v>0</v>
      </c>
      <c r="E58" s="117">
        <v>0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9">
        <v>0</v>
      </c>
      <c r="L58" s="117">
        <v>0</v>
      </c>
      <c r="M58" s="117">
        <v>0</v>
      </c>
      <c r="N58" s="118">
        <v>0</v>
      </c>
      <c r="O58" s="119">
        <v>0</v>
      </c>
      <c r="P58" s="117">
        <v>1</v>
      </c>
      <c r="Q58" s="117">
        <v>1</v>
      </c>
      <c r="R58" s="117">
        <v>1</v>
      </c>
      <c r="S58" s="119">
        <v>1</v>
      </c>
      <c r="T58" s="117">
        <v>9</v>
      </c>
      <c r="U58" s="117">
        <v>10</v>
      </c>
      <c r="V58" s="118">
        <v>20</v>
      </c>
      <c r="W58" s="118">
        <v>20</v>
      </c>
      <c r="X58" s="154"/>
      <c r="Y58" s="119">
        <v>0</v>
      </c>
      <c r="Z58" s="117">
        <v>0</v>
      </c>
      <c r="AA58" s="119">
        <v>0</v>
      </c>
      <c r="AB58" s="117">
        <v>0</v>
      </c>
      <c r="AC58" s="117">
        <v>0</v>
      </c>
      <c r="AD58" s="117">
        <v>0</v>
      </c>
      <c r="AE58" s="117">
        <v>1</v>
      </c>
      <c r="AF58" s="118">
        <v>20</v>
      </c>
    </row>
    <row r="59" spans="2:32" x14ac:dyDescent="0.25">
      <c r="B59" s="79" t="s">
        <v>279</v>
      </c>
      <c r="C59" s="117"/>
      <c r="D59" s="117"/>
      <c r="E59" s="117"/>
      <c r="F59" s="117"/>
      <c r="G59" s="117"/>
      <c r="H59" s="117"/>
      <c r="I59" s="117"/>
      <c r="J59" s="117"/>
      <c r="K59" s="119">
        <v>0</v>
      </c>
      <c r="L59" s="117">
        <v>0</v>
      </c>
      <c r="M59" s="117">
        <v>0</v>
      </c>
      <c r="N59" s="118">
        <v>0</v>
      </c>
      <c r="O59" s="119">
        <v>0</v>
      </c>
      <c r="P59" s="117">
        <v>0</v>
      </c>
      <c r="Q59" s="117">
        <v>0</v>
      </c>
      <c r="R59" s="117">
        <v>0</v>
      </c>
      <c r="S59" s="119">
        <v>0</v>
      </c>
      <c r="T59" s="117">
        <v>0</v>
      </c>
      <c r="U59" s="117">
        <v>1</v>
      </c>
      <c r="V59" s="118">
        <v>1</v>
      </c>
      <c r="W59" s="118">
        <v>1</v>
      </c>
      <c r="X59" s="154"/>
      <c r="Y59" s="119"/>
      <c r="Z59" s="117"/>
      <c r="AA59" s="119"/>
      <c r="AB59" s="117"/>
      <c r="AC59" s="117"/>
      <c r="AD59" s="117"/>
      <c r="AE59" s="117"/>
      <c r="AF59" s="118">
        <v>1</v>
      </c>
    </row>
    <row r="60" spans="2:32" x14ac:dyDescent="0.25">
      <c r="B60" s="155" t="s">
        <v>24</v>
      </c>
      <c r="C60" s="156">
        <f>SUM(C45:C58)</f>
        <v>283</v>
      </c>
      <c r="D60" s="156">
        <f>SUM(D45:D58)</f>
        <v>297</v>
      </c>
      <c r="E60" s="156">
        <f>SUM(E45:E58)</f>
        <v>298</v>
      </c>
      <c r="F60" s="156">
        <f>SUM(F45:F58)</f>
        <v>314</v>
      </c>
      <c r="G60" s="156">
        <v>318</v>
      </c>
      <c r="H60" s="156">
        <v>321</v>
      </c>
      <c r="I60" s="156">
        <v>321</v>
      </c>
      <c r="J60" s="156">
        <v>346</v>
      </c>
      <c r="K60" s="158">
        <v>348</v>
      </c>
      <c r="L60" s="156">
        <v>350</v>
      </c>
      <c r="M60" s="156">
        <v>351</v>
      </c>
      <c r="N60" s="157">
        <v>367</v>
      </c>
      <c r="O60" s="158">
        <v>371</v>
      </c>
      <c r="P60" s="156">
        <v>372</v>
      </c>
      <c r="Q60" s="156">
        <v>373</v>
      </c>
      <c r="R60" s="156">
        <f t="shared" ref="R60:W60" si="3">SUM(R45:R59)</f>
        <v>397</v>
      </c>
      <c r="S60" s="158">
        <f t="shared" si="3"/>
        <v>397</v>
      </c>
      <c r="T60" s="156">
        <f t="shared" si="3"/>
        <v>405</v>
      </c>
      <c r="U60" s="156">
        <f t="shared" si="3"/>
        <v>404</v>
      </c>
      <c r="V60" s="157">
        <f t="shared" si="3"/>
        <v>435</v>
      </c>
      <c r="W60" s="157">
        <f t="shared" si="3"/>
        <v>440</v>
      </c>
      <c r="Y60" s="158">
        <v>210</v>
      </c>
      <c r="Z60" s="156">
        <v>250</v>
      </c>
      <c r="AA60" s="158">
        <v>280</v>
      </c>
      <c r="AB60" s="156">
        <v>314</v>
      </c>
      <c r="AC60" s="156">
        <v>346</v>
      </c>
      <c r="AD60" s="156">
        <v>367</v>
      </c>
      <c r="AE60" s="156">
        <f>SUM(AE45:AE58)</f>
        <v>397</v>
      </c>
      <c r="AF60" s="157">
        <v>435</v>
      </c>
    </row>
    <row r="61" spans="2:32" x14ac:dyDescent="0.25">
      <c r="B61" s="337"/>
      <c r="C61" s="337"/>
      <c r="D61" s="337"/>
      <c r="E61" s="337"/>
      <c r="F61" s="337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Y61" s="178"/>
      <c r="Z61" s="178"/>
      <c r="AA61" s="178"/>
      <c r="AB61" s="178"/>
      <c r="AC61" s="178"/>
      <c r="AD61" s="178"/>
      <c r="AE61" s="178"/>
      <c r="AF61" s="178"/>
    </row>
    <row r="62" spans="2:32" x14ac:dyDescent="0.25">
      <c r="B62" s="159"/>
      <c r="C62" s="159"/>
      <c r="D62" s="159"/>
      <c r="E62" s="159"/>
      <c r="F62" s="159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Y62" s="160"/>
      <c r="Z62" s="160"/>
      <c r="AA62" s="160"/>
      <c r="AB62" s="160"/>
      <c r="AC62" s="160"/>
      <c r="AD62" s="160"/>
      <c r="AE62" s="160"/>
      <c r="AF62" s="160"/>
    </row>
    <row r="63" spans="2:32" x14ac:dyDescent="0.25">
      <c r="B63" s="161" t="s">
        <v>186</v>
      </c>
      <c r="C63" s="343"/>
      <c r="D63" s="343"/>
      <c r="E63" s="343"/>
      <c r="F63" s="343"/>
      <c r="G63" s="86"/>
      <c r="H63" s="86"/>
      <c r="I63" s="86"/>
      <c r="J63" s="86"/>
      <c r="K63" s="145"/>
      <c r="L63" s="145"/>
      <c r="M63" s="145"/>
      <c r="N63" s="145"/>
      <c r="O63" s="145"/>
      <c r="P63" s="145"/>
      <c r="Q63" s="145"/>
      <c r="R63" s="145"/>
      <c r="S63" s="562"/>
      <c r="T63" s="563"/>
      <c r="U63" s="563"/>
      <c r="V63" s="564"/>
      <c r="W63" s="564"/>
      <c r="Y63" s="370" t="s">
        <v>6</v>
      </c>
      <c r="Z63" s="371" t="s">
        <v>7</v>
      </c>
      <c r="AA63" s="370" t="s">
        <v>8</v>
      </c>
      <c r="AB63" s="371" t="s">
        <v>9</v>
      </c>
      <c r="AC63" s="371" t="s">
        <v>10</v>
      </c>
      <c r="AD63" s="371" t="s">
        <v>98</v>
      </c>
      <c r="AE63" s="371" t="s">
        <v>239</v>
      </c>
      <c r="AF63" s="371" t="s">
        <v>282</v>
      </c>
    </row>
    <row r="64" spans="2:32" x14ac:dyDescent="0.25">
      <c r="B64" s="79" t="s">
        <v>187</v>
      </c>
      <c r="C64" s="149">
        <f>+C4/AVERAGE(280,C60)</f>
        <v>341.58546270913149</v>
      </c>
      <c r="D64" s="149">
        <f>+D4/AVERAGE(C60:D60)</f>
        <v>349.93538863441393</v>
      </c>
      <c r="E64" s="149">
        <f>+E4/AVERAGE(D60:E60)</f>
        <v>356.72677011559659</v>
      </c>
      <c r="F64" s="149">
        <f>+F4/AVERAGE(E60:F60)</f>
        <v>370.92196027631041</v>
      </c>
      <c r="G64" s="117">
        <f>+G4/AVERAGE(F60:G60)</f>
        <v>376.37926673661661</v>
      </c>
      <c r="H64" s="133">
        <f t="shared" ref="H64:R64" si="4">+H4/AVERAGE(G60:H60)</f>
        <v>392.60340411020371</v>
      </c>
      <c r="I64" s="133">
        <f t="shared" si="4"/>
        <v>407.74868103112846</v>
      </c>
      <c r="J64" s="133">
        <f t="shared" si="4"/>
        <v>424.78745977887644</v>
      </c>
      <c r="K64" s="468">
        <f t="shared" si="4"/>
        <v>422.19109846740662</v>
      </c>
      <c r="L64" s="469">
        <f t="shared" si="4"/>
        <v>438.9531727314054</v>
      </c>
      <c r="M64" s="469">
        <f t="shared" si="4"/>
        <v>458.75832018257057</v>
      </c>
      <c r="N64" s="470">
        <f t="shared" si="4"/>
        <v>482.24642454968529</v>
      </c>
      <c r="O64" s="133">
        <f t="shared" si="4"/>
        <v>483.50899244818294</v>
      </c>
      <c r="P64" s="133">
        <f t="shared" si="4"/>
        <v>495.17092866756394</v>
      </c>
      <c r="Q64" s="133">
        <f t="shared" si="4"/>
        <v>516.4577054381449</v>
      </c>
      <c r="R64" s="133">
        <f t="shared" si="4"/>
        <v>530.39418181818189</v>
      </c>
      <c r="S64" s="468">
        <f>+S4/AVERAGE(R60:S60)</f>
        <v>522.41057934508819</v>
      </c>
      <c r="T64" s="469">
        <f>+T4/AVERAGE(S60:T60)</f>
        <v>532.58478574026185</v>
      </c>
      <c r="U64" s="469">
        <f>+U4/AVERAGE(T60:U60)</f>
        <v>548.91293378283069</v>
      </c>
      <c r="V64" s="470">
        <f>+V4/AVERAGE(U60:V60)</f>
        <v>559.03957091775931</v>
      </c>
      <c r="W64" s="470">
        <f>+W4/AVERAGE(V60:W60)</f>
        <v>546.98422857142862</v>
      </c>
      <c r="X64" s="372"/>
      <c r="Y64" s="325"/>
      <c r="Z64" s="133">
        <f t="shared" ref="Z64:AF64" si="5">+Z4/AVERAGE(Y60:Z60)</f>
        <v>338.960506721684</v>
      </c>
      <c r="AA64" s="136">
        <f t="shared" si="5"/>
        <v>356.7657744449449</v>
      </c>
      <c r="AB64" s="133">
        <f t="shared" si="5"/>
        <v>382.16201967862287</v>
      </c>
      <c r="AC64" s="133">
        <f t="shared" si="5"/>
        <v>429.29278132198482</v>
      </c>
      <c r="AD64" s="133">
        <f t="shared" si="5"/>
        <v>485.62823678355119</v>
      </c>
      <c r="AE64" s="133">
        <f t="shared" si="5"/>
        <v>534.5595811518325</v>
      </c>
      <c r="AF64" s="134">
        <f t="shared" si="5"/>
        <v>563.74302884615383</v>
      </c>
    </row>
    <row r="65" spans="2:34" x14ac:dyDescent="0.25">
      <c r="B65" s="79" t="s">
        <v>188</v>
      </c>
      <c r="C65" s="149">
        <f>+C4/AVERAGE(5000,C72)</f>
        <v>20.391540187174321</v>
      </c>
      <c r="D65" s="149">
        <f t="shared" ref="D65:W65" si="6">+D4/AVERAGE(C72:D72)</f>
        <v>22.406991102667266</v>
      </c>
      <c r="E65" s="149">
        <f t="shared" si="6"/>
        <v>22.616135132528498</v>
      </c>
      <c r="F65" s="149">
        <f t="shared" si="6"/>
        <v>22.74591580051122</v>
      </c>
      <c r="G65" s="117">
        <f t="shared" si="6"/>
        <v>22.417462687545161</v>
      </c>
      <c r="H65" s="133">
        <f t="shared" si="6"/>
        <v>22.619563179733134</v>
      </c>
      <c r="I65" s="133">
        <f t="shared" si="6"/>
        <v>22.21441388509712</v>
      </c>
      <c r="J65" s="133">
        <f t="shared" si="6"/>
        <v>23.385047513412889</v>
      </c>
      <c r="K65" s="136">
        <f t="shared" si="6"/>
        <v>24.970225186328634</v>
      </c>
      <c r="L65" s="133">
        <f t="shared" si="6"/>
        <v>26.803369308592508</v>
      </c>
      <c r="M65" s="133">
        <f t="shared" si="6"/>
        <v>27.592413766450623</v>
      </c>
      <c r="N65" s="134">
        <f t="shared" si="6"/>
        <v>28.856815803539796</v>
      </c>
      <c r="O65" s="133">
        <f t="shared" si="6"/>
        <v>29.78793191641698</v>
      </c>
      <c r="P65" s="133">
        <f t="shared" si="6"/>
        <v>31.53981997428204</v>
      </c>
      <c r="Q65" s="133">
        <f t="shared" si="6"/>
        <v>31.943627276996096</v>
      </c>
      <c r="R65" s="133">
        <f t="shared" si="6"/>
        <v>30.214065251165202</v>
      </c>
      <c r="S65" s="136">
        <f t="shared" si="6"/>
        <v>28.7233571082335</v>
      </c>
      <c r="T65" s="133">
        <f t="shared" si="6"/>
        <v>29.45338561327334</v>
      </c>
      <c r="U65" s="133">
        <f t="shared" si="6"/>
        <v>30.827529568227003</v>
      </c>
      <c r="V65" s="134">
        <f t="shared" si="6"/>
        <v>31.777384823848241</v>
      </c>
      <c r="W65" s="134">
        <f t="shared" si="6"/>
        <v>31.169729729729731</v>
      </c>
      <c r="X65" s="373"/>
      <c r="Y65" s="325"/>
      <c r="Z65" s="133">
        <f t="shared" ref="Z65:AF65" si="7">+Z4/AVERAGE(Y72:Z72)</f>
        <v>23.096109182635853</v>
      </c>
      <c r="AA65" s="136">
        <f t="shared" si="7"/>
        <v>23.934919045040608</v>
      </c>
      <c r="AB65" s="133">
        <f t="shared" si="7"/>
        <v>23.750182013925716</v>
      </c>
      <c r="AC65" s="133">
        <f t="shared" si="7"/>
        <v>25.171751570052415</v>
      </c>
      <c r="AD65" s="133">
        <f t="shared" si="7"/>
        <v>28.594676094365511</v>
      </c>
      <c r="AE65" s="133">
        <f t="shared" si="7"/>
        <v>30.688572287345959</v>
      </c>
      <c r="AF65" s="134">
        <f t="shared" si="7"/>
        <v>31.516879451686602</v>
      </c>
    </row>
    <row r="66" spans="2:34" x14ac:dyDescent="0.25">
      <c r="B66" s="79" t="s">
        <v>189</v>
      </c>
      <c r="C66" s="149">
        <f>+C5/AVERAGE(B60:C60)*4</f>
        <v>65.369611307420485</v>
      </c>
      <c r="D66" s="149">
        <f>+D5/AVERAGE(C60:D60)*4</f>
        <v>124.36493903062069</v>
      </c>
      <c r="E66" s="149">
        <f>+E5/AVERAGE(D60:E60)*4</f>
        <v>127.85202200658824</v>
      </c>
      <c r="F66" s="149">
        <f>+F5/AVERAGE(E60:F60)*4</f>
        <v>168.26124353869284</v>
      </c>
      <c r="G66" s="117">
        <f>+G5/AVERAGE(F60:G60)*4</f>
        <v>138.43416889772152</v>
      </c>
      <c r="H66" s="133">
        <f t="shared" ref="H66:S66" si="8">+H5/AVERAGE(G60:H60)*4</f>
        <v>143.56703668419419</v>
      </c>
      <c r="I66" s="133">
        <f t="shared" si="8"/>
        <v>149.83328464336432</v>
      </c>
      <c r="J66" s="133">
        <f t="shared" si="8"/>
        <v>189.71602487268294</v>
      </c>
      <c r="K66" s="136">
        <f t="shared" si="8"/>
        <v>123.13707981244957</v>
      </c>
      <c r="L66" s="133">
        <f t="shared" si="8"/>
        <v>144.23588195679082</v>
      </c>
      <c r="M66" s="133">
        <f t="shared" si="8"/>
        <v>155.48327126139691</v>
      </c>
      <c r="N66" s="134">
        <f t="shared" si="8"/>
        <v>210.93270371282404</v>
      </c>
      <c r="O66" s="133">
        <f t="shared" si="8"/>
        <v>131.26504065040652</v>
      </c>
      <c r="P66" s="133">
        <f t="shared" si="8"/>
        <v>139.32976780763391</v>
      </c>
      <c r="Q66" s="133">
        <f t="shared" si="8"/>
        <v>171.19104694861747</v>
      </c>
      <c r="R66" s="133">
        <f t="shared" si="8"/>
        <v>210.26952278208833</v>
      </c>
      <c r="S66" s="136">
        <f t="shared" si="8"/>
        <v>115.40554156171285</v>
      </c>
      <c r="T66" s="133">
        <f>+T5/AVERAGE(S60:T60)*4</f>
        <v>155.59700748129677</v>
      </c>
      <c r="U66" s="133">
        <f>+U5/AVERAGE(T60:U60)*4</f>
        <v>170.27306345166872</v>
      </c>
      <c r="V66" s="134">
        <f>+V5/AVERAGE(U60:V60)*4</f>
        <v>223.89816448152561</v>
      </c>
      <c r="W66" s="134">
        <f>+W5/AVERAGE(V60:W60)*4</f>
        <v>147.55803428571429</v>
      </c>
      <c r="X66" s="373"/>
      <c r="Y66" s="119"/>
      <c r="Z66" s="133">
        <f t="shared" ref="Z66:AF66" si="9">+Z5/AVERAGE(Y60:Z60)</f>
        <v>127.40826086956523</v>
      </c>
      <c r="AA66" s="136">
        <f t="shared" si="9"/>
        <v>100.25863251969436</v>
      </c>
      <c r="AB66" s="133">
        <f t="shared" si="9"/>
        <v>121.28738582491582</v>
      </c>
      <c r="AC66" s="133">
        <f t="shared" si="9"/>
        <v>152.25882140745432</v>
      </c>
      <c r="AD66" s="133">
        <f t="shared" si="9"/>
        <v>156.58401122019634</v>
      </c>
      <c r="AE66" s="133">
        <f t="shared" si="9"/>
        <v>160.28811518324608</v>
      </c>
      <c r="AF66" s="134">
        <f t="shared" si="9"/>
        <v>162.86269230769233</v>
      </c>
    </row>
    <row r="67" spans="2:34" x14ac:dyDescent="0.25">
      <c r="B67" s="79" t="s">
        <v>190</v>
      </c>
      <c r="C67" s="149">
        <f>+C5/AVERAGE(5000,C72)*4</f>
        <v>3.9231470681794081</v>
      </c>
      <c r="D67" s="149">
        <f t="shared" ref="D67:V67" si="10">+D5/AVERAGE(C72:D72)*4</f>
        <v>7.9633102934157645</v>
      </c>
      <c r="E67" s="149">
        <f t="shared" si="10"/>
        <v>8.1056955880575394</v>
      </c>
      <c r="F67" s="149">
        <f t="shared" si="10"/>
        <v>10.318224553675352</v>
      </c>
      <c r="G67" s="117">
        <f t="shared" si="10"/>
        <v>8.2452544287399867</v>
      </c>
      <c r="H67" s="133">
        <f t="shared" si="10"/>
        <v>8.2715117159138121</v>
      </c>
      <c r="I67" s="133">
        <f t="shared" si="10"/>
        <v>8.163014998391029</v>
      </c>
      <c r="J67" s="133">
        <f t="shared" si="10"/>
        <v>10.444089517173945</v>
      </c>
      <c r="K67" s="136">
        <f t="shared" si="10"/>
        <v>7.282864614780979</v>
      </c>
      <c r="L67" s="133">
        <f t="shared" si="10"/>
        <v>8.8073349318379837</v>
      </c>
      <c r="M67" s="133">
        <f t="shared" si="10"/>
        <v>9.3516750883088147</v>
      </c>
      <c r="N67" s="134">
        <f t="shared" si="10"/>
        <v>12.621858593700113</v>
      </c>
      <c r="O67" s="133">
        <f t="shared" si="10"/>
        <v>8.0869521662910095</v>
      </c>
      <c r="P67" s="133">
        <f t="shared" si="10"/>
        <v>8.8745835817464194</v>
      </c>
      <c r="Q67" s="133">
        <f t="shared" si="10"/>
        <v>10.588404315211292</v>
      </c>
      <c r="R67" s="133">
        <f t="shared" si="10"/>
        <v>11.978067066820152</v>
      </c>
      <c r="S67" s="136">
        <f t="shared" si="10"/>
        <v>6.3452669482722799</v>
      </c>
      <c r="T67" s="133">
        <f t="shared" si="10"/>
        <v>8.6049372500344781</v>
      </c>
      <c r="U67" s="133">
        <f t="shared" si="10"/>
        <v>9.5627149137382847</v>
      </c>
      <c r="V67" s="134">
        <f t="shared" si="10"/>
        <v>12.727002710027101</v>
      </c>
      <c r="W67" s="134">
        <f>+W5/AVERAGE(V72:W72)*4</f>
        <v>8.4085496580918271</v>
      </c>
      <c r="X67" s="373"/>
      <c r="Y67" s="119"/>
      <c r="Z67" s="133">
        <f t="shared" ref="Z67:AF67" si="11">+Z5/AVERAGE(Y72:Z72)</f>
        <v>8.6813509109761515</v>
      </c>
      <c r="AA67" s="136">
        <f t="shared" si="11"/>
        <v>6.7262120551187357</v>
      </c>
      <c r="AB67" s="133">
        <f t="shared" si="11"/>
        <v>7.5376341473111523</v>
      </c>
      <c r="AC67" s="133">
        <f t="shared" si="11"/>
        <v>8.9277560526758926</v>
      </c>
      <c r="AD67" s="133">
        <f t="shared" si="11"/>
        <v>9.2199521017425052</v>
      </c>
      <c r="AE67" s="133">
        <f t="shared" si="11"/>
        <v>9.2019927862939586</v>
      </c>
      <c r="AF67" s="134">
        <f t="shared" si="11"/>
        <v>9.1050772745598714</v>
      </c>
    </row>
    <row r="68" spans="2:34" s="168" customFormat="1" x14ac:dyDescent="0.25">
      <c r="B68" s="164" t="s">
        <v>191</v>
      </c>
      <c r="C68" s="165">
        <f>+MROUND((AVERAGE(5000,C72)/AVERAGE(280,C60)),1)</f>
        <v>17</v>
      </c>
      <c r="D68" s="165">
        <f t="shared" ref="D68:W68" si="12">+MROUND((AVERAGE(C72:D72)/AVERAGE(C60:D60)),1)</f>
        <v>16</v>
      </c>
      <c r="E68" s="165">
        <f t="shared" si="12"/>
        <v>16</v>
      </c>
      <c r="F68" s="165">
        <f t="shared" si="12"/>
        <v>16</v>
      </c>
      <c r="G68" s="165">
        <f t="shared" si="12"/>
        <v>17</v>
      </c>
      <c r="H68" s="165">
        <f t="shared" si="12"/>
        <v>17</v>
      </c>
      <c r="I68" s="165">
        <f t="shared" si="12"/>
        <v>18</v>
      </c>
      <c r="J68" s="165">
        <f t="shared" si="12"/>
        <v>18</v>
      </c>
      <c r="K68" s="164">
        <f t="shared" si="12"/>
        <v>17</v>
      </c>
      <c r="L68" s="165">
        <f t="shared" si="12"/>
        <v>16</v>
      </c>
      <c r="M68" s="165">
        <f t="shared" si="12"/>
        <v>17</v>
      </c>
      <c r="N68" s="166">
        <f t="shared" si="12"/>
        <v>17</v>
      </c>
      <c r="O68" s="165">
        <f t="shared" si="12"/>
        <v>16</v>
      </c>
      <c r="P68" s="165">
        <f t="shared" si="12"/>
        <v>16</v>
      </c>
      <c r="Q68" s="165">
        <f t="shared" si="12"/>
        <v>16</v>
      </c>
      <c r="R68" s="165">
        <f t="shared" si="12"/>
        <v>18</v>
      </c>
      <c r="S68" s="164">
        <f t="shared" si="12"/>
        <v>18</v>
      </c>
      <c r="T68" s="165">
        <f t="shared" si="12"/>
        <v>18</v>
      </c>
      <c r="U68" s="165">
        <f t="shared" si="12"/>
        <v>18</v>
      </c>
      <c r="V68" s="166">
        <f t="shared" si="12"/>
        <v>18</v>
      </c>
      <c r="W68" s="166">
        <f t="shared" si="12"/>
        <v>18</v>
      </c>
      <c r="X68" s="374"/>
      <c r="Y68" s="164"/>
      <c r="Z68" s="165">
        <f t="shared" ref="Z68:AF68" si="13">+MROUND((AVERAGE(Y72:Z72)/AVERAGE(Y60:Z60)),1)</f>
        <v>15</v>
      </c>
      <c r="AA68" s="164">
        <f t="shared" si="13"/>
        <v>15</v>
      </c>
      <c r="AB68" s="165">
        <f t="shared" si="13"/>
        <v>16</v>
      </c>
      <c r="AC68" s="165">
        <f t="shared" si="13"/>
        <v>17</v>
      </c>
      <c r="AD68" s="165">
        <f t="shared" si="13"/>
        <v>17</v>
      </c>
      <c r="AE68" s="165">
        <f t="shared" si="13"/>
        <v>17</v>
      </c>
      <c r="AF68" s="166">
        <f t="shared" si="13"/>
        <v>18</v>
      </c>
    </row>
    <row r="69" spans="2:34" s="168" customFormat="1" x14ac:dyDescent="0.25"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374"/>
      <c r="Y69" s="117"/>
      <c r="Z69" s="117"/>
      <c r="AA69" s="117"/>
      <c r="AB69" s="117"/>
      <c r="AC69" s="117"/>
      <c r="AD69" s="117"/>
      <c r="AE69" s="117"/>
      <c r="AF69" s="117"/>
    </row>
    <row r="70" spans="2:34" x14ac:dyDescent="0.25">
      <c r="B70" s="161" t="s">
        <v>49</v>
      </c>
      <c r="C70" s="343"/>
      <c r="D70" s="343"/>
      <c r="E70" s="343"/>
      <c r="F70" s="343"/>
      <c r="G70" s="86"/>
      <c r="H70" s="86"/>
      <c r="I70" s="86"/>
      <c r="J70" s="86"/>
      <c r="K70" s="145"/>
      <c r="L70" s="145"/>
      <c r="M70" s="145"/>
      <c r="N70" s="145"/>
      <c r="O70" s="145"/>
      <c r="P70" s="145"/>
      <c r="Q70" s="145"/>
      <c r="R70" s="145"/>
      <c r="S70" s="560"/>
      <c r="T70" s="145"/>
      <c r="U70" s="145"/>
      <c r="V70" s="146"/>
      <c r="W70" s="146"/>
      <c r="Y70" s="106"/>
      <c r="Z70" s="106"/>
      <c r="AA70" s="108"/>
      <c r="AB70" s="85"/>
      <c r="AC70" s="85"/>
      <c r="AD70" s="85"/>
      <c r="AE70" s="85"/>
      <c r="AF70" s="107"/>
    </row>
    <row r="71" spans="2:34" x14ac:dyDescent="0.25">
      <c r="B71" s="78" t="s">
        <v>50</v>
      </c>
      <c r="C71" s="114">
        <v>12</v>
      </c>
      <c r="D71" s="114">
        <v>13</v>
      </c>
      <c r="E71" s="114">
        <v>13</v>
      </c>
      <c r="F71" s="114">
        <v>13</v>
      </c>
      <c r="G71" s="162">
        <v>13</v>
      </c>
      <c r="H71" s="162">
        <v>13</v>
      </c>
      <c r="I71" s="162">
        <v>13</v>
      </c>
      <c r="J71" s="162">
        <v>13</v>
      </c>
      <c r="K71" s="477">
        <v>13</v>
      </c>
      <c r="L71" s="162">
        <v>13</v>
      </c>
      <c r="M71" s="162">
        <v>13</v>
      </c>
      <c r="N71" s="163">
        <v>13</v>
      </c>
      <c r="O71" s="162">
        <v>13</v>
      </c>
      <c r="P71" s="162">
        <v>14</v>
      </c>
      <c r="Q71" s="162">
        <v>14</v>
      </c>
      <c r="R71" s="162">
        <v>14</v>
      </c>
      <c r="S71" s="477">
        <v>14</v>
      </c>
      <c r="T71" s="162">
        <v>14</v>
      </c>
      <c r="U71" s="162">
        <v>15</v>
      </c>
      <c r="V71" s="163">
        <v>15</v>
      </c>
      <c r="W71" s="163">
        <v>15</v>
      </c>
      <c r="Y71" s="119">
        <v>10</v>
      </c>
      <c r="Z71" s="117">
        <v>10</v>
      </c>
      <c r="AA71" s="119">
        <v>11</v>
      </c>
      <c r="AB71" s="117">
        <v>13</v>
      </c>
      <c r="AC71" s="117">
        <v>13</v>
      </c>
      <c r="AD71" s="117">
        <v>13</v>
      </c>
      <c r="AE71" s="117">
        <v>14</v>
      </c>
      <c r="AF71" s="163">
        <v>15</v>
      </c>
    </row>
    <row r="72" spans="2:34" x14ac:dyDescent="0.25">
      <c r="B72" s="79" t="s">
        <v>51</v>
      </c>
      <c r="C72" s="357">
        <v>4431</v>
      </c>
      <c r="D72" s="357">
        <v>4627</v>
      </c>
      <c r="E72" s="357">
        <v>4758</v>
      </c>
      <c r="F72" s="117">
        <v>5222</v>
      </c>
      <c r="G72" s="117">
        <v>5389</v>
      </c>
      <c r="H72" s="117">
        <v>5702</v>
      </c>
      <c r="I72" s="117">
        <v>6082</v>
      </c>
      <c r="J72" s="117">
        <v>6034</v>
      </c>
      <c r="K72" s="119">
        <v>5700</v>
      </c>
      <c r="L72" s="117">
        <v>5731</v>
      </c>
      <c r="M72" s="117">
        <v>5924</v>
      </c>
      <c r="N72" s="118">
        <v>6075</v>
      </c>
      <c r="O72" s="117">
        <v>5904</v>
      </c>
      <c r="P72" s="117">
        <v>5761</v>
      </c>
      <c r="Q72" s="117">
        <v>6284</v>
      </c>
      <c r="R72" s="117">
        <v>7233</v>
      </c>
      <c r="S72" s="119">
        <v>7208</v>
      </c>
      <c r="T72" s="117">
        <v>7294</v>
      </c>
      <c r="U72" s="117">
        <v>7111</v>
      </c>
      <c r="V72" s="118">
        <v>7649</v>
      </c>
      <c r="W72" s="118">
        <v>7706</v>
      </c>
      <c r="Y72" s="119">
        <v>3187</v>
      </c>
      <c r="Z72" s="117">
        <v>3564</v>
      </c>
      <c r="AA72" s="119">
        <v>4336</v>
      </c>
      <c r="AB72" s="117">
        <v>5222</v>
      </c>
      <c r="AC72" s="117">
        <v>6034</v>
      </c>
      <c r="AD72" s="117">
        <v>6075</v>
      </c>
      <c r="AE72" s="117">
        <v>7233</v>
      </c>
      <c r="AF72" s="118">
        <v>7649</v>
      </c>
    </row>
    <row r="73" spans="2:34" s="168" customFormat="1" x14ac:dyDescent="0.25">
      <c r="B73" s="164" t="s">
        <v>134</v>
      </c>
      <c r="C73" s="165">
        <v>128921</v>
      </c>
      <c r="D73" s="165">
        <v>135453</v>
      </c>
      <c r="E73" s="165">
        <v>141311</v>
      </c>
      <c r="F73" s="165">
        <v>150837</v>
      </c>
      <c r="G73" s="165">
        <v>158979</v>
      </c>
      <c r="H73" s="165">
        <v>166639</v>
      </c>
      <c r="I73" s="165">
        <v>175001</v>
      </c>
      <c r="J73" s="165">
        <v>187149</v>
      </c>
      <c r="K73" s="164">
        <v>192446</v>
      </c>
      <c r="L73" s="165">
        <v>198947</v>
      </c>
      <c r="M73" s="165">
        <v>206618</v>
      </c>
      <c r="N73" s="166">
        <v>218101</v>
      </c>
      <c r="O73" s="165">
        <v>223658</v>
      </c>
      <c r="P73" s="165">
        <v>229183</v>
      </c>
      <c r="Q73" s="165">
        <v>236726</v>
      </c>
      <c r="R73" s="165">
        <v>246895</v>
      </c>
      <c r="S73" s="164">
        <v>250694</v>
      </c>
      <c r="T73" s="165">
        <v>255696</v>
      </c>
      <c r="U73" s="165">
        <v>262443</v>
      </c>
      <c r="V73" s="166">
        <v>270852</v>
      </c>
      <c r="W73" s="166">
        <v>275869</v>
      </c>
      <c r="X73" s="405"/>
      <c r="Y73" s="164">
        <v>77488</v>
      </c>
      <c r="Z73" s="165">
        <v>104745</v>
      </c>
      <c r="AA73" s="164">
        <v>125591</v>
      </c>
      <c r="AB73" s="165">
        <v>150837</v>
      </c>
      <c r="AC73" s="165">
        <v>187149</v>
      </c>
      <c r="AD73" s="165">
        <v>218101</v>
      </c>
      <c r="AE73" s="165">
        <v>246895</v>
      </c>
      <c r="AF73" s="166">
        <v>270852</v>
      </c>
      <c r="AH73" s="154"/>
    </row>
    <row r="74" spans="2:34" x14ac:dyDescent="0.25">
      <c r="H74" s="169"/>
      <c r="I74" s="169"/>
      <c r="J74" s="169"/>
      <c r="K74" s="169"/>
      <c r="L74" s="169"/>
      <c r="M74" s="169"/>
      <c r="N74" s="169"/>
      <c r="O74" s="169"/>
      <c r="P74" s="169"/>
      <c r="Q74" s="228"/>
      <c r="R74" s="228"/>
      <c r="S74" s="228"/>
      <c r="T74" s="228"/>
      <c r="U74" s="228"/>
      <c r="V74" s="228"/>
      <c r="W74" s="228"/>
      <c r="Z74" s="169"/>
      <c r="AA74" s="169"/>
      <c r="AB74" s="169"/>
      <c r="AC74" s="169"/>
      <c r="AD74" s="169"/>
      <c r="AE74" s="169"/>
      <c r="AF74" s="169"/>
    </row>
    <row r="75" spans="2:34" x14ac:dyDescent="0.25">
      <c r="Z75" s="170"/>
      <c r="AA75" s="170"/>
      <c r="AB75" s="170"/>
      <c r="AC75" s="170"/>
      <c r="AD75" s="170"/>
      <c r="AE75" s="154"/>
      <c r="AF75" s="154"/>
    </row>
    <row r="81" spans="16:24" x14ac:dyDescent="0.25">
      <c r="P81" s="169"/>
      <c r="T81" s="169"/>
      <c r="U81" s="169"/>
      <c r="V81" s="169"/>
      <c r="W81" s="169"/>
    </row>
    <row r="82" spans="16:24" x14ac:dyDescent="0.25">
      <c r="P82" s="169"/>
      <c r="T82" s="169"/>
      <c r="U82" s="169"/>
      <c r="V82" s="169"/>
      <c r="W82" s="169"/>
    </row>
    <row r="83" spans="16:24" x14ac:dyDescent="0.25">
      <c r="P83" s="20"/>
      <c r="Q83" s="20"/>
      <c r="R83" s="20"/>
      <c r="S83" s="20"/>
      <c r="T83" s="20"/>
      <c r="U83" s="20"/>
      <c r="V83" s="20"/>
      <c r="W83" s="20"/>
      <c r="X83" s="228"/>
    </row>
  </sheetData>
  <hyperlinks>
    <hyperlink ref="A1" location="Index!A1" display="Index" xr:uid="{00000000-0004-0000-0300-000000000000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P41"/>
  <sheetViews>
    <sheetView showGridLines="0" zoomScale="80" zoomScaleNormal="8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W3" sqref="W3"/>
    </sheetView>
  </sheetViews>
  <sheetFormatPr defaultColWidth="9.140625" defaultRowHeight="15" outlineLevelCol="1" x14ac:dyDescent="0.25"/>
  <cols>
    <col min="1" max="1" width="5.85546875" style="113" bestFit="1" customWidth="1"/>
    <col min="2" max="2" width="41.140625" style="20" bestFit="1" customWidth="1"/>
    <col min="3" max="6" width="9.85546875" style="20" hidden="1" customWidth="1" outlineLevel="1"/>
    <col min="7" max="7" width="8.5703125" style="113" hidden="1" customWidth="1" outlineLevel="1"/>
    <col min="8" max="10" width="10.140625" style="113" hidden="1" customWidth="1" outlineLevel="1"/>
    <col min="11" max="11" width="10.140625" style="113" bestFit="1" customWidth="1" collapsed="1"/>
    <col min="12" max="16" width="10.140625" style="113" bestFit="1" customWidth="1"/>
    <col min="17" max="23" width="10.140625" style="113" customWidth="1"/>
    <col min="24" max="24" width="7.7109375" style="113" bestFit="1" customWidth="1"/>
    <col min="25" max="26" width="8.5703125" style="113" hidden="1" customWidth="1" outlineLevel="1"/>
    <col min="27" max="27" width="8.5703125" style="113" bestFit="1" customWidth="1" collapsed="1"/>
    <col min="28" max="28" width="8.5703125" style="113" bestFit="1" customWidth="1"/>
    <col min="29" max="31" width="10.140625" style="113" bestFit="1" customWidth="1"/>
    <col min="32" max="32" width="10.140625" style="113" customWidth="1"/>
    <col min="33" max="16384" width="9.140625" style="113"/>
  </cols>
  <sheetData>
    <row r="1" spans="1:32" x14ac:dyDescent="0.25">
      <c r="A1" s="112" t="s">
        <v>0</v>
      </c>
    </row>
    <row r="2" spans="1:32" x14ac:dyDescent="0.25">
      <c r="A2" s="211"/>
      <c r="B2" s="212"/>
      <c r="C2" s="212"/>
      <c r="D2" s="212"/>
      <c r="E2" s="212"/>
      <c r="F2" s="212"/>
      <c r="AB2" s="204"/>
    </row>
    <row r="3" spans="1:32" s="100" customFormat="1" x14ac:dyDescent="0.25">
      <c r="B3" s="111" t="s">
        <v>163</v>
      </c>
      <c r="C3" s="86" t="s">
        <v>178</v>
      </c>
      <c r="D3" s="86" t="s">
        <v>179</v>
      </c>
      <c r="E3" s="86" t="s">
        <v>180</v>
      </c>
      <c r="F3" s="86" t="s">
        <v>181</v>
      </c>
      <c r="G3" s="86" t="s">
        <v>108</v>
      </c>
      <c r="H3" s="86" t="s">
        <v>107</v>
      </c>
      <c r="I3" s="86" t="s">
        <v>106</v>
      </c>
      <c r="J3" s="86" t="s">
        <v>105</v>
      </c>
      <c r="K3" s="86" t="s">
        <v>1</v>
      </c>
      <c r="L3" s="86" t="s">
        <v>2</v>
      </c>
      <c r="M3" s="86" t="s">
        <v>3</v>
      </c>
      <c r="N3" s="86" t="s">
        <v>96</v>
      </c>
      <c r="O3" s="102" t="s">
        <v>97</v>
      </c>
      <c r="P3" s="86" t="s">
        <v>131</v>
      </c>
      <c r="Q3" s="86" t="s">
        <v>174</v>
      </c>
      <c r="R3" s="101" t="s">
        <v>238</v>
      </c>
      <c r="S3" s="102" t="s">
        <v>251</v>
      </c>
      <c r="T3" s="86" t="s">
        <v>271</v>
      </c>
      <c r="U3" s="86" t="str">
        <f>+Operational!U3</f>
        <v>Q3FY26</v>
      </c>
      <c r="V3" s="101" t="str">
        <f>+Operational!V3</f>
        <v>Q4FY26</v>
      </c>
      <c r="W3" s="1089" t="str">
        <f>+Operational!W3</f>
        <v>Q1FY27</v>
      </c>
      <c r="Y3" s="102" t="s">
        <v>6</v>
      </c>
      <c r="Z3" s="86" t="s">
        <v>7</v>
      </c>
      <c r="AA3" s="102" t="s">
        <v>8</v>
      </c>
      <c r="AB3" s="86" t="s">
        <v>9</v>
      </c>
      <c r="AC3" s="86" t="s">
        <v>10</v>
      </c>
      <c r="AD3" s="86" t="s">
        <v>98</v>
      </c>
      <c r="AE3" s="86" t="s">
        <v>239</v>
      </c>
      <c r="AF3" s="101" t="s">
        <v>282</v>
      </c>
    </row>
    <row r="4" spans="1:32" s="168" customFormat="1" x14ac:dyDescent="0.25">
      <c r="A4" s="213"/>
      <c r="B4" s="116" t="s">
        <v>145</v>
      </c>
      <c r="C4" s="114">
        <v>894.2</v>
      </c>
      <c r="D4" s="114">
        <v>795.1</v>
      </c>
      <c r="E4" s="114">
        <v>1473.2</v>
      </c>
      <c r="F4" s="114">
        <v>903.6</v>
      </c>
      <c r="G4" s="97">
        <v>1044.5999999999999</v>
      </c>
      <c r="H4" s="97">
        <v>1112.8</v>
      </c>
      <c r="I4" s="97">
        <v>1204</v>
      </c>
      <c r="J4" s="97">
        <v>1066.9000000000001</v>
      </c>
      <c r="K4" s="97">
        <v>1193.4340391651431</v>
      </c>
      <c r="L4" s="97">
        <v>1294.7</v>
      </c>
      <c r="M4" s="97">
        <v>1425</v>
      </c>
      <c r="N4" s="97">
        <v>1318.5775269907931</v>
      </c>
      <c r="O4" s="99">
        <v>1466.1211016043139</v>
      </c>
      <c r="P4" s="97">
        <v>1600.6465291349186</v>
      </c>
      <c r="Q4" s="97">
        <v>1756.8639452074319</v>
      </c>
      <c r="R4" s="98">
        <v>1763.3902252789906</v>
      </c>
      <c r="S4" s="99">
        <v>1987.4167937259733</v>
      </c>
      <c r="T4" s="97">
        <v>2080.516079952411</v>
      </c>
      <c r="U4" s="97">
        <v>2066.1183649179798</v>
      </c>
      <c r="V4" s="98">
        <v>1937.6320021720921</v>
      </c>
      <c r="W4" s="98">
        <v>2100.8273279084592</v>
      </c>
      <c r="X4" s="117"/>
      <c r="Y4" s="99">
        <v>222.70436914221301</v>
      </c>
      <c r="Z4" s="97">
        <v>284.11734000000001</v>
      </c>
      <c r="AA4" s="99">
        <v>739.13531215617297</v>
      </c>
      <c r="AB4" s="97">
        <v>903.6</v>
      </c>
      <c r="AC4" s="97">
        <v>1066.9000000000001</v>
      </c>
      <c r="AD4" s="97">
        <v>1318.5775269907931</v>
      </c>
      <c r="AE4" s="97">
        <v>1763.3902252789906</v>
      </c>
      <c r="AF4" s="98">
        <f>+V4</f>
        <v>1937.6320021720921</v>
      </c>
    </row>
    <row r="5" spans="1:32" s="168" customFormat="1" x14ac:dyDescent="0.25">
      <c r="A5" s="213"/>
      <c r="B5" s="119" t="s">
        <v>146</v>
      </c>
      <c r="C5" s="117">
        <v>670.4</v>
      </c>
      <c r="D5" s="117">
        <v>588.5</v>
      </c>
      <c r="E5" s="117">
        <v>1128.9000000000001</v>
      </c>
      <c r="F5" s="117">
        <v>695.3</v>
      </c>
      <c r="G5" s="18">
        <v>804.89999999999986</v>
      </c>
      <c r="H5" s="18">
        <v>848.09999999999991</v>
      </c>
      <c r="I5" s="18">
        <v>916.5</v>
      </c>
      <c r="J5" s="18">
        <v>779.80000000000007</v>
      </c>
      <c r="K5" s="18">
        <v>871.83620852588763</v>
      </c>
      <c r="L5" s="18">
        <v>938.7</v>
      </c>
      <c r="M5" s="18">
        <v>1032.9000000000001</v>
      </c>
      <c r="N5" s="18">
        <v>938.6615135585289</v>
      </c>
      <c r="O5" s="62">
        <v>1043.4183455911648</v>
      </c>
      <c r="P5" s="18">
        <v>1141.2808532369772</v>
      </c>
      <c r="Q5" s="18">
        <v>1233.2599708425391</v>
      </c>
      <c r="R5" s="63">
        <v>1191.4636147403394</v>
      </c>
      <c r="S5" s="62">
        <v>1360.897034650206</v>
      </c>
      <c r="T5" s="18">
        <v>1417.7543496690412</v>
      </c>
      <c r="U5" s="18">
        <v>1365.8826894124238</v>
      </c>
      <c r="V5" s="63">
        <v>1241.1267342076453</v>
      </c>
      <c r="W5" s="63">
        <v>1327.7738772989069</v>
      </c>
      <c r="X5" s="117"/>
      <c r="Y5" s="62">
        <v>174.12282026047251</v>
      </c>
      <c r="Z5" s="18">
        <v>210.19226300000003</v>
      </c>
      <c r="AA5" s="62">
        <v>537.75514715617305</v>
      </c>
      <c r="AB5" s="18">
        <v>695.26335169603396</v>
      </c>
      <c r="AC5" s="18">
        <v>779.80000000000007</v>
      </c>
      <c r="AD5" s="18">
        <v>938.6615135585289</v>
      </c>
      <c r="AE5" s="18">
        <v>1191.4636147403394</v>
      </c>
      <c r="AF5" s="63">
        <f t="shared" ref="AF5:AF12" si="0">+V5</f>
        <v>1241.1267342076453</v>
      </c>
    </row>
    <row r="6" spans="1:32" x14ac:dyDescent="0.25">
      <c r="A6" s="211"/>
      <c r="B6" s="79" t="s">
        <v>147</v>
      </c>
      <c r="C6" s="345">
        <v>1.1426130879423953E-2</v>
      </c>
      <c r="D6" s="345">
        <v>9.6059002766257645E-3</v>
      </c>
      <c r="E6" s="345">
        <v>1.7216122075727588E-2</v>
      </c>
      <c r="F6" s="345">
        <v>9.9000000000000008E-3</v>
      </c>
      <c r="G6" s="94">
        <v>1.081747566326057E-2</v>
      </c>
      <c r="H6" s="94">
        <v>1.0999999999999999E-2</v>
      </c>
      <c r="I6" s="94">
        <v>1.1339579337477364E-2</v>
      </c>
      <c r="J6" s="94">
        <v>9.2388934184662388E-3</v>
      </c>
      <c r="K6" s="94">
        <v>9.9527842197109657E-3</v>
      </c>
      <c r="L6" s="94">
        <v>1.041470608266656E-2</v>
      </c>
      <c r="M6" s="94">
        <v>1.0895728800843359E-2</v>
      </c>
      <c r="N6" s="94">
        <v>9.3587917321395798E-3</v>
      </c>
      <c r="O6" s="96">
        <v>1.0086646213545962E-2</v>
      </c>
      <c r="P6" s="94">
        <v>1.0808484281631938E-2</v>
      </c>
      <c r="Q6" s="94">
        <v>1.1395166469305017E-2</v>
      </c>
      <c r="R6" s="95">
        <v>1.0793816651892411E-2</v>
      </c>
      <c r="S6" s="96">
        <v>1.2200000000000001E-2</v>
      </c>
      <c r="T6" s="94">
        <v>1.2395630567162801E-2</v>
      </c>
      <c r="U6" s="94">
        <v>1.1900000000000001E-2</v>
      </c>
      <c r="V6" s="95">
        <v>1.0472362803420629E-2</v>
      </c>
      <c r="W6" s="95">
        <v>1.113040794652592E-2</v>
      </c>
      <c r="X6" s="214"/>
      <c r="Y6" s="96">
        <v>4.7000000000000002E-3</v>
      </c>
      <c r="Z6" s="94">
        <v>4.5999999999999999E-3</v>
      </c>
      <c r="AA6" s="96">
        <v>9.7999999999999997E-3</v>
      </c>
      <c r="AB6" s="94">
        <v>9.9000000000000008E-3</v>
      </c>
      <c r="AC6" s="94">
        <v>9.2388934184662388E-3</v>
      </c>
      <c r="AD6" s="94">
        <v>9.3587917321395798E-3</v>
      </c>
      <c r="AE6" s="94">
        <v>1.0793816651892411E-2</v>
      </c>
      <c r="AF6" s="95">
        <f t="shared" si="0"/>
        <v>1.0472362803420629E-2</v>
      </c>
    </row>
    <row r="7" spans="1:32" x14ac:dyDescent="0.25">
      <c r="A7" s="211"/>
      <c r="B7" s="79" t="s">
        <v>148</v>
      </c>
      <c r="C7" s="345">
        <v>8.6399466183151377E-3</v>
      </c>
      <c r="D7" s="345">
        <v>7.160477953643103E-3</v>
      </c>
      <c r="E7" s="345">
        <v>1.3316535892753641E-2</v>
      </c>
      <c r="F7" s="345">
        <v>7.7000000000000002E-3</v>
      </c>
      <c r="G7" s="94">
        <v>8.3914814553125699E-3</v>
      </c>
      <c r="H7" s="94">
        <v>8.4127637119694124E-3</v>
      </c>
      <c r="I7" s="94">
        <v>8.6870910484224927E-3</v>
      </c>
      <c r="J7" s="94">
        <v>6.7952650428141602E-3</v>
      </c>
      <c r="K7" s="94">
        <v>7.3149602243413707E-3</v>
      </c>
      <c r="L7" s="94">
        <v>7.5685711114169812E-3</v>
      </c>
      <c r="M7" s="94">
        <v>7.9493317707287278E-3</v>
      </c>
      <c r="N7" s="94">
        <v>6.702634534052186E-3</v>
      </c>
      <c r="O7" s="96">
        <v>7.2236287217406544E-3</v>
      </c>
      <c r="P7" s="94">
        <v>7.7561353171733544E-3</v>
      </c>
      <c r="Q7" s="94">
        <v>8.0515329827484071E-3</v>
      </c>
      <c r="R7" s="95">
        <v>7.3412504947023517E-3</v>
      </c>
      <c r="S7" s="96">
        <v>8.3864915454957729E-3</v>
      </c>
      <c r="T7" s="94">
        <v>8.5083795452281681E-3</v>
      </c>
      <c r="U7" s="94">
        <v>7.8942467504344253E-3</v>
      </c>
      <c r="V7" s="95">
        <v>6.7552787213359519E-3</v>
      </c>
      <c r="W7" s="95">
        <v>7.0875342858377297E-3</v>
      </c>
      <c r="X7" s="214"/>
      <c r="Y7" s="96">
        <v>3.7000000000000002E-3</v>
      </c>
      <c r="Z7" s="94">
        <v>3.3999999999999998E-3</v>
      </c>
      <c r="AA7" s="96">
        <v>7.1000000000000004E-3</v>
      </c>
      <c r="AB7" s="94">
        <v>7.7000000000000002E-3</v>
      </c>
      <c r="AC7" s="94">
        <v>6.7952650428141602E-3</v>
      </c>
      <c r="AD7" s="94">
        <v>6.702634534052186E-3</v>
      </c>
      <c r="AE7" s="94">
        <v>7.3412504947023517E-3</v>
      </c>
      <c r="AF7" s="95">
        <f t="shared" si="0"/>
        <v>6.7552787213359519E-3</v>
      </c>
    </row>
    <row r="8" spans="1:32" x14ac:dyDescent="0.25">
      <c r="A8" s="211"/>
      <c r="B8" s="79" t="s">
        <v>149</v>
      </c>
      <c r="C8" s="345">
        <v>0.12667244620338372</v>
      </c>
      <c r="D8" s="345">
        <v>8.8800000000000004E-2</v>
      </c>
      <c r="E8" s="345">
        <v>6.4500000000000002E-2</v>
      </c>
      <c r="F8" s="345">
        <v>4.4719501209066349E-2</v>
      </c>
      <c r="G8" s="214">
        <v>4.6745181427818576E-2</v>
      </c>
      <c r="H8" s="214">
        <v>4.4490000000000002E-2</v>
      </c>
      <c r="I8" s="214">
        <v>4.0488374175160123E-2</v>
      </c>
      <c r="J8" s="214">
        <v>3.301213985249235E-2</v>
      </c>
      <c r="K8" s="214">
        <v>3.6812593386020512E-2</v>
      </c>
      <c r="L8" s="214">
        <v>3.5757898623195283E-2</v>
      </c>
      <c r="M8" s="214">
        <v>3.7537112276305441E-2</v>
      </c>
      <c r="N8" s="214">
        <v>3.1199999999999999E-2</v>
      </c>
      <c r="O8" s="216">
        <v>3.6499999999999998E-2</v>
      </c>
      <c r="P8" s="214">
        <v>3.9665775458161801E-2</v>
      </c>
      <c r="Q8" s="214">
        <v>3.85E-2</v>
      </c>
      <c r="R8" s="215">
        <v>3.39E-2</v>
      </c>
      <c r="S8" s="216">
        <v>4.1500000000000002E-2</v>
      </c>
      <c r="T8" s="214">
        <v>3.9899999999999998E-2</v>
      </c>
      <c r="U8" s="214">
        <v>3.8013380161595306E-2</v>
      </c>
      <c r="V8" s="215">
        <v>3.1699999999999999E-2</v>
      </c>
      <c r="W8" s="215">
        <v>3.7600000000000001E-2</v>
      </c>
      <c r="X8" s="214"/>
      <c r="Y8" s="216">
        <v>3.4299999999999997E-2</v>
      </c>
      <c r="Z8" s="214">
        <v>2.4299999999999999E-2</v>
      </c>
      <c r="AA8" s="216">
        <v>6.3700000000000007E-2</v>
      </c>
      <c r="AB8" s="214">
        <v>4.4699999999999997E-2</v>
      </c>
      <c r="AC8" s="214">
        <v>3.301213985249235E-2</v>
      </c>
      <c r="AD8" s="214">
        <v>3.1199999999999999E-2</v>
      </c>
      <c r="AE8" s="214">
        <v>3.39E-2</v>
      </c>
      <c r="AF8" s="215">
        <f t="shared" si="0"/>
        <v>3.1699999999999999E-2</v>
      </c>
    </row>
    <row r="9" spans="1:32" x14ac:dyDescent="0.25">
      <c r="A9" s="211"/>
      <c r="B9" s="79" t="s">
        <v>150</v>
      </c>
      <c r="C9" s="345">
        <v>3.3037130504961848E-2</v>
      </c>
      <c r="D9" s="345">
        <v>4.9996299984670908E-2</v>
      </c>
      <c r="E9" s="345">
        <v>4.6415406658341762E-2</v>
      </c>
      <c r="F9" s="345">
        <v>5.5178997734326073E-2</v>
      </c>
      <c r="G9" s="214">
        <v>3.2542159674406318E-4</v>
      </c>
      <c r="H9" s="214">
        <v>5.5165323225250286E-4</v>
      </c>
      <c r="I9" s="214">
        <v>1.1485965815828236E-3</v>
      </c>
      <c r="J9" s="214">
        <v>1.9652346428763452E-3</v>
      </c>
      <c r="K9" s="214">
        <v>1.6325302937604006E-3</v>
      </c>
      <c r="L9" s="214">
        <v>1.7711987572870311E-3</v>
      </c>
      <c r="M9" s="214">
        <v>2.0903109285992003E-3</v>
      </c>
      <c r="N9" s="214">
        <v>1.0798977442600132E-3</v>
      </c>
      <c r="O9" s="219">
        <v>2.0269237840477398E-3</v>
      </c>
      <c r="P9" s="217">
        <v>1.1401355647453831E-3</v>
      </c>
      <c r="Q9" s="346">
        <v>1.3970648634727852E-3</v>
      </c>
      <c r="R9" s="421">
        <v>1.6741084609058537E-3</v>
      </c>
      <c r="S9" s="479">
        <v>2.3773059184800044E-3</v>
      </c>
      <c r="T9" s="345">
        <f>+'[1]Yields, Margins &amp; Ratios'!F15</f>
        <v>1.6448963322227349E-3</v>
      </c>
      <c r="U9" s="345">
        <f>+'Yields, Margins &amp; Ratios'!U15</f>
        <v>1.580576686923855E-3</v>
      </c>
      <c r="V9" s="480">
        <f>+'Yields, Margins &amp; Ratios'!V15</f>
        <v>1.2827884947701404E-3</v>
      </c>
      <c r="W9" s="480">
        <f>+'Yields, Margins &amp; Ratios'!W15</f>
        <v>2.3811791441777364E-3</v>
      </c>
      <c r="X9" s="204"/>
      <c r="Y9" s="219">
        <v>1.8408488522229029E-3</v>
      </c>
      <c r="Z9" s="217">
        <v>2.309057585792044E-3</v>
      </c>
      <c r="AA9" s="219">
        <v>4.4696554742849649E-3</v>
      </c>
      <c r="AB9" s="217">
        <v>2.2627339472700491E-3</v>
      </c>
      <c r="AC9" s="217">
        <v>1.0169405683210333E-3</v>
      </c>
      <c r="AD9" s="217">
        <v>1.635399273453449E-3</v>
      </c>
      <c r="AE9" s="217">
        <v>1.5438764816289043E-3</v>
      </c>
      <c r="AF9" s="218">
        <f>+'Yields, Margins &amp; Ratios'!AF15</f>
        <v>1.6933748238706135E-3</v>
      </c>
    </row>
    <row r="10" spans="1:32" x14ac:dyDescent="0.25">
      <c r="A10" s="211"/>
      <c r="B10" s="155" t="s">
        <v>130</v>
      </c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483"/>
      <c r="R10" s="483"/>
      <c r="S10" s="483"/>
      <c r="T10" s="483"/>
      <c r="U10" s="483"/>
      <c r="V10" s="484"/>
      <c r="W10" s="484"/>
      <c r="Y10" s="220"/>
      <c r="Z10" s="221"/>
      <c r="AA10" s="220"/>
      <c r="AB10" s="221"/>
      <c r="AC10" s="221"/>
      <c r="AD10" s="221"/>
      <c r="AE10" s="221"/>
      <c r="AF10" s="222"/>
    </row>
    <row r="11" spans="1:32" x14ac:dyDescent="0.25">
      <c r="A11" s="211"/>
      <c r="B11" s="79" t="s">
        <v>129</v>
      </c>
      <c r="C11" s="345">
        <v>1.1599999999999999E-2</v>
      </c>
      <c r="D11" s="345">
        <v>9.7599999999999996E-3</v>
      </c>
      <c r="E11" s="345">
        <v>1.7000000000000001E-2</v>
      </c>
      <c r="F11" s="345">
        <v>9.5999999999999992E-3</v>
      </c>
      <c r="G11" s="345">
        <v>1.0699999999999999E-2</v>
      </c>
      <c r="H11" s="345">
        <v>1.06E-2</v>
      </c>
      <c r="I11" s="345">
        <v>1.09E-2</v>
      </c>
      <c r="J11" s="345">
        <v>8.9999999999999993E-3</v>
      </c>
      <c r="K11" s="345">
        <v>9.5999999999999992E-3</v>
      </c>
      <c r="L11" s="345">
        <v>9.9000000000000008E-3</v>
      </c>
      <c r="M11" s="345">
        <v>1.03E-2</v>
      </c>
      <c r="N11" s="345">
        <v>8.8000000000000005E-3</v>
      </c>
      <c r="O11" s="225">
        <v>9.2999999999999992E-3</v>
      </c>
      <c r="P11" s="223">
        <v>9.8502375740703793E-3</v>
      </c>
      <c r="Q11" s="362">
        <v>1.0699999999999999E-2</v>
      </c>
      <c r="R11" s="457">
        <v>1.0200000000000001E-2</v>
      </c>
      <c r="S11" s="481">
        <v>1.15E-2</v>
      </c>
      <c r="T11" s="478">
        <v>1.18E-2</v>
      </c>
      <c r="U11" s="478">
        <v>1.1599999999999999E-2</v>
      </c>
      <c r="V11" s="482">
        <v>1.03E-2</v>
      </c>
      <c r="W11" s="482">
        <v>1.0999999999999999E-2</v>
      </c>
      <c r="X11" s="214"/>
      <c r="Y11" s="225">
        <v>5.3E-3</v>
      </c>
      <c r="Z11" s="223">
        <v>5.1999999999999998E-3</v>
      </c>
      <c r="AA11" s="225">
        <v>0.01</v>
      </c>
      <c r="AB11" s="223">
        <v>9.5999999999999992E-3</v>
      </c>
      <c r="AC11" s="223">
        <v>8.9999999999999993E-3</v>
      </c>
      <c r="AD11" s="223">
        <v>8.8000000000000005E-3</v>
      </c>
      <c r="AE11" s="223">
        <v>1.0200000000000001E-2</v>
      </c>
      <c r="AF11" s="224">
        <f t="shared" si="0"/>
        <v>1.03E-2</v>
      </c>
    </row>
    <row r="12" spans="1:32" x14ac:dyDescent="0.25">
      <c r="A12" s="211"/>
      <c r="B12" s="80" t="s">
        <v>143</v>
      </c>
      <c r="C12" s="346">
        <v>1.0999999999999999E-2</v>
      </c>
      <c r="D12" s="346">
        <v>9.1599999999999997E-3</v>
      </c>
      <c r="E12" s="346">
        <v>1.77E-2</v>
      </c>
      <c r="F12" s="346">
        <v>1.11E-2</v>
      </c>
      <c r="G12" s="217">
        <v>1.14E-2</v>
      </c>
      <c r="H12" s="217">
        <v>1.2200000000000001E-2</v>
      </c>
      <c r="I12" s="217">
        <v>1.29E-2</v>
      </c>
      <c r="J12" s="217">
        <v>9.9000000000000008E-3</v>
      </c>
      <c r="K12" s="217">
        <v>1.12E-2</v>
      </c>
      <c r="L12" s="217">
        <v>1.21E-2</v>
      </c>
      <c r="M12" s="217">
        <v>1.3100000000000001E-2</v>
      </c>
      <c r="N12" s="217">
        <v>1.1599999999999999E-2</v>
      </c>
      <c r="O12" s="219">
        <v>1.3299999999999999E-2</v>
      </c>
      <c r="P12" s="217">
        <v>1.4850175841967609E-2</v>
      </c>
      <c r="Q12" s="217">
        <v>1.4500000000000001E-2</v>
      </c>
      <c r="R12" s="218">
        <v>1.32E-2</v>
      </c>
      <c r="S12" s="219">
        <v>1.47E-2</v>
      </c>
      <c r="T12" s="217">
        <v>1.46E-2</v>
      </c>
      <c r="U12" s="217">
        <v>1.29E-2</v>
      </c>
      <c r="V12" s="218">
        <v>1.11E-2</v>
      </c>
      <c r="W12" s="218">
        <v>1.15E-2</v>
      </c>
      <c r="X12" s="214"/>
      <c r="Y12" s="219">
        <v>2.7000000000000001E-3</v>
      </c>
      <c r="Z12" s="217">
        <v>2.7000000000000001E-3</v>
      </c>
      <c r="AA12" s="219">
        <v>8.9999999999999993E-3</v>
      </c>
      <c r="AB12" s="217">
        <v>1.11E-2</v>
      </c>
      <c r="AC12" s="217">
        <v>9.9000000000000008E-3</v>
      </c>
      <c r="AD12" s="217">
        <v>1.1599999999999999E-2</v>
      </c>
      <c r="AE12" s="217">
        <v>1.32E-2</v>
      </c>
      <c r="AF12" s="218">
        <f t="shared" si="0"/>
        <v>1.11E-2</v>
      </c>
    </row>
    <row r="13" spans="1:32" x14ac:dyDescent="0.25">
      <c r="A13" s="226"/>
      <c r="B13" s="149"/>
      <c r="C13" s="149"/>
      <c r="D13" s="149"/>
      <c r="E13" s="149"/>
      <c r="F13" s="149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</row>
    <row r="14" spans="1:32" s="100" customFormat="1" x14ac:dyDescent="0.25">
      <c r="B14" s="111" t="s">
        <v>140</v>
      </c>
      <c r="C14" s="338" t="s">
        <v>178</v>
      </c>
      <c r="D14" s="338" t="s">
        <v>179</v>
      </c>
      <c r="E14" s="338" t="s">
        <v>180</v>
      </c>
      <c r="F14" s="338" t="s">
        <v>181</v>
      </c>
      <c r="G14" s="86" t="s">
        <v>108</v>
      </c>
      <c r="H14" s="86" t="s">
        <v>107</v>
      </c>
      <c r="I14" s="86" t="s">
        <v>106</v>
      </c>
      <c r="J14" s="86" t="s">
        <v>105</v>
      </c>
      <c r="K14" s="102" t="s">
        <v>1</v>
      </c>
      <c r="L14" s="86" t="s">
        <v>2</v>
      </c>
      <c r="M14" s="86" t="s">
        <v>3</v>
      </c>
      <c r="N14" s="101" t="s">
        <v>96</v>
      </c>
      <c r="O14" s="102" t="s">
        <v>97</v>
      </c>
      <c r="P14" s="86" t="s">
        <v>131</v>
      </c>
      <c r="Q14" s="86" t="s">
        <v>174</v>
      </c>
      <c r="R14" s="101" t="s">
        <v>238</v>
      </c>
      <c r="S14" s="102" t="s">
        <v>251</v>
      </c>
      <c r="T14" s="86" t="str">
        <f>+T3</f>
        <v>Q2FY26</v>
      </c>
      <c r="U14" s="86" t="str">
        <f>+U3</f>
        <v>Q3FY26</v>
      </c>
      <c r="V14" s="86" t="str">
        <f>+V3</f>
        <v>Q4FY26</v>
      </c>
      <c r="W14" s="86" t="str">
        <f>+W3</f>
        <v>Q1FY27</v>
      </c>
      <c r="Y14" s="102" t="s">
        <v>167</v>
      </c>
      <c r="Z14" s="86" t="s">
        <v>7</v>
      </c>
      <c r="AA14" s="102" t="s">
        <v>8</v>
      </c>
      <c r="AB14" s="86" t="s">
        <v>9</v>
      </c>
      <c r="AC14" s="86" t="s">
        <v>10</v>
      </c>
      <c r="AD14" s="86" t="s">
        <v>98</v>
      </c>
      <c r="AE14" s="86" t="s">
        <v>239</v>
      </c>
      <c r="AF14" s="101" t="s">
        <v>282</v>
      </c>
    </row>
    <row r="15" spans="1:32" s="168" customFormat="1" x14ac:dyDescent="0.25">
      <c r="A15" s="117"/>
      <c r="B15" s="79" t="s">
        <v>52</v>
      </c>
      <c r="C15" s="117">
        <v>894.2</v>
      </c>
      <c r="D15" s="117">
        <v>795.1</v>
      </c>
      <c r="E15" s="117">
        <v>1473.2</v>
      </c>
      <c r="F15" s="117">
        <v>903.6</v>
      </c>
      <c r="G15" s="18">
        <v>1044.5999999999999</v>
      </c>
      <c r="H15" s="18">
        <v>1112.8</v>
      </c>
      <c r="I15" s="18">
        <v>1204</v>
      </c>
      <c r="J15" s="18">
        <v>1066.9000000000001</v>
      </c>
      <c r="K15" s="62">
        <v>1193.4340391651431</v>
      </c>
      <c r="L15" s="18">
        <v>1294.7</v>
      </c>
      <c r="M15" s="18">
        <v>1425</v>
      </c>
      <c r="N15" s="63">
        <v>1318.5775269907931</v>
      </c>
      <c r="O15" s="62">
        <v>1466.1211016043139</v>
      </c>
      <c r="P15" s="18">
        <v>1600.6465291349186</v>
      </c>
      <c r="Q15" s="18">
        <v>1756.8639452074319</v>
      </c>
      <c r="R15" s="63">
        <v>1763.3902252789906</v>
      </c>
      <c r="S15" s="62">
        <v>1987.4167937259733</v>
      </c>
      <c r="T15" s="18">
        <f>+T4</f>
        <v>2080.516079952411</v>
      </c>
      <c r="U15" s="18">
        <f>+U4</f>
        <v>2066.1183649179798</v>
      </c>
      <c r="V15" s="63">
        <v>1937.6320021720921</v>
      </c>
      <c r="W15" s="63">
        <f>+W4</f>
        <v>2100.8273279084592</v>
      </c>
      <c r="Y15" s="319">
        <v>222.70436914221301</v>
      </c>
      <c r="Z15" s="18">
        <v>284.11734000000001</v>
      </c>
      <c r="AA15" s="62">
        <v>739.13531215617297</v>
      </c>
      <c r="AB15" s="18">
        <v>903.6</v>
      </c>
      <c r="AC15" s="18">
        <v>1066.9000000000001</v>
      </c>
      <c r="AD15" s="18">
        <v>1318.5775269907931</v>
      </c>
      <c r="AE15" s="18">
        <v>1763.3902252789906</v>
      </c>
      <c r="AF15" s="63">
        <v>1937.6320021720921</v>
      </c>
    </row>
    <row r="16" spans="1:32" x14ac:dyDescent="0.25">
      <c r="B16" s="79" t="s">
        <v>53</v>
      </c>
      <c r="C16" s="345">
        <v>1.1426130879423953E-2</v>
      </c>
      <c r="D16" s="345">
        <v>9.6059002766257645E-3</v>
      </c>
      <c r="E16" s="345">
        <v>1.7216122075727588E-2</v>
      </c>
      <c r="F16" s="345">
        <v>9.9000000000000008E-3</v>
      </c>
      <c r="G16" s="94">
        <v>1.0800000000000001E-2</v>
      </c>
      <c r="H16" s="94">
        <v>1.0999999999999999E-2</v>
      </c>
      <c r="I16" s="94">
        <v>1.1299999999999999E-2</v>
      </c>
      <c r="J16" s="94">
        <v>9.1999999999999998E-3</v>
      </c>
      <c r="K16" s="96">
        <v>9.9527839079495417E-3</v>
      </c>
      <c r="L16" s="94">
        <v>1.04E-2</v>
      </c>
      <c r="M16" s="94">
        <v>1.09E-2</v>
      </c>
      <c r="N16" s="95">
        <v>9.3587915860038028E-3</v>
      </c>
      <c r="O16" s="96">
        <v>1.008664621354596E-2</v>
      </c>
      <c r="P16" s="94">
        <v>1.0808484281631938E-2</v>
      </c>
      <c r="Q16" s="94">
        <v>1.1395166469305017E-2</v>
      </c>
      <c r="R16" s="95">
        <v>1.0793816651892411E-2</v>
      </c>
      <c r="S16" s="96">
        <v>1.2200000000000001E-2</v>
      </c>
      <c r="T16" s="94">
        <f>+T6</f>
        <v>1.2395630567162801E-2</v>
      </c>
      <c r="U16" s="94">
        <f>+U6</f>
        <v>1.1900000000000001E-2</v>
      </c>
      <c r="V16" s="95">
        <v>1.0472362803420629E-2</v>
      </c>
      <c r="W16" s="95">
        <v>1.113040794652592E-2</v>
      </c>
      <c r="X16" s="228"/>
      <c r="Y16" s="300">
        <v>4.7000000000000002E-3</v>
      </c>
      <c r="Z16" s="94">
        <v>4.5811601914992816E-3</v>
      </c>
      <c r="AA16" s="96">
        <v>9.7603122128634579E-3</v>
      </c>
      <c r="AB16" s="94">
        <v>9.9102798666642154E-3</v>
      </c>
      <c r="AC16" s="94">
        <v>9.1999999999999998E-3</v>
      </c>
      <c r="AD16" s="94">
        <v>9.3587915860038028E-3</v>
      </c>
      <c r="AE16" s="94">
        <v>1.0793816651892411E-2</v>
      </c>
      <c r="AF16" s="95">
        <v>1.0472362803420629E-2</v>
      </c>
    </row>
    <row r="17" spans="2:42" s="168" customFormat="1" x14ac:dyDescent="0.25">
      <c r="B17" s="79" t="s">
        <v>54</v>
      </c>
      <c r="C17" s="117">
        <v>223.80000000000007</v>
      </c>
      <c r="D17" s="117">
        <v>206.60000000000002</v>
      </c>
      <c r="E17" s="117">
        <v>344.29999999999995</v>
      </c>
      <c r="F17" s="117">
        <v>208.30000000000007</v>
      </c>
      <c r="G17" s="18">
        <v>239.7</v>
      </c>
      <c r="H17" s="18">
        <v>264.7</v>
      </c>
      <c r="I17" s="18">
        <v>287.5</v>
      </c>
      <c r="J17" s="18">
        <v>287.10000000000002</v>
      </c>
      <c r="K17" s="62">
        <v>321.59783063925545</v>
      </c>
      <c r="L17" s="18">
        <v>356</v>
      </c>
      <c r="M17" s="18">
        <v>392.1</v>
      </c>
      <c r="N17" s="63">
        <v>379.91601343226421</v>
      </c>
      <c r="O17" s="119">
        <v>422.70275601314916</v>
      </c>
      <c r="P17" s="117">
        <v>459.36567589794146</v>
      </c>
      <c r="Q17" s="117">
        <v>523.60397436489291</v>
      </c>
      <c r="R17" s="118">
        <v>571.92661053865106</v>
      </c>
      <c r="S17" s="119">
        <v>626.5197590757673</v>
      </c>
      <c r="T17" s="117">
        <v>662.76173028336984</v>
      </c>
      <c r="U17" s="117">
        <v>700.23567550555595</v>
      </c>
      <c r="V17" s="118">
        <v>696.50526796444694</v>
      </c>
      <c r="W17" s="118">
        <v>773.05345060955233</v>
      </c>
      <c r="Y17" s="62">
        <v>48.581548881740503</v>
      </c>
      <c r="Z17" s="18">
        <v>73.925077000000002</v>
      </c>
      <c r="AA17" s="62">
        <v>201.38016499999998</v>
      </c>
      <c r="AB17" s="18">
        <v>208.33664830396606</v>
      </c>
      <c r="AC17" s="18">
        <v>287.10000000000002</v>
      </c>
      <c r="AD17" s="18">
        <v>379.91601343226421</v>
      </c>
      <c r="AE17" s="18">
        <v>571.92661053865106</v>
      </c>
      <c r="AF17" s="63">
        <v>696.50526796444694</v>
      </c>
    </row>
    <row r="18" spans="2:42" s="168" customFormat="1" x14ac:dyDescent="0.25">
      <c r="B18" s="79" t="s">
        <v>55</v>
      </c>
      <c r="C18" s="117">
        <v>670.4</v>
      </c>
      <c r="D18" s="117">
        <v>588.5</v>
      </c>
      <c r="E18" s="117">
        <v>1128.9000000000001</v>
      </c>
      <c r="F18" s="117">
        <v>695.3</v>
      </c>
      <c r="G18" s="18">
        <v>804.89999999999986</v>
      </c>
      <c r="H18" s="18">
        <v>848.09999999999991</v>
      </c>
      <c r="I18" s="18">
        <v>916.5</v>
      </c>
      <c r="J18" s="18">
        <v>779.80000000000007</v>
      </c>
      <c r="K18" s="62">
        <v>871.83620852588763</v>
      </c>
      <c r="L18" s="18">
        <v>938.7</v>
      </c>
      <c r="M18" s="18">
        <v>1032.9000000000001</v>
      </c>
      <c r="N18" s="63">
        <v>938.6615135585289</v>
      </c>
      <c r="O18" s="62">
        <v>1043.4183455911648</v>
      </c>
      <c r="P18" s="18">
        <v>1141.2808532369772</v>
      </c>
      <c r="Q18" s="18">
        <v>1233.2599708425391</v>
      </c>
      <c r="R18" s="63">
        <v>1191.4636147403394</v>
      </c>
      <c r="S18" s="62">
        <v>1360.897034650206</v>
      </c>
      <c r="T18" s="18">
        <f>+T15-T17</f>
        <v>1417.7543496690412</v>
      </c>
      <c r="U18" s="18">
        <f>+U15-U17</f>
        <v>1365.8826894124238</v>
      </c>
      <c r="V18" s="63">
        <f>+V15-V17</f>
        <v>1241.1267342076453</v>
      </c>
      <c r="W18" s="63">
        <f>+W15-W17</f>
        <v>1327.7738772989069</v>
      </c>
      <c r="Y18" s="62">
        <v>174.12282026047251</v>
      </c>
      <c r="Z18" s="18">
        <v>210.19226300000003</v>
      </c>
      <c r="AA18" s="62">
        <v>537.75514715617305</v>
      </c>
      <c r="AB18" s="18">
        <v>695.26335169603396</v>
      </c>
      <c r="AC18" s="18">
        <v>779.80000000000007</v>
      </c>
      <c r="AD18" s="18">
        <v>938.6615135585289</v>
      </c>
      <c r="AE18" s="18">
        <v>1191.4636147403394</v>
      </c>
      <c r="AF18" s="63">
        <v>1241.1267342076453</v>
      </c>
    </row>
    <row r="19" spans="2:42" s="204" customFormat="1" x14ac:dyDescent="0.25">
      <c r="B19" s="387" t="s">
        <v>56</v>
      </c>
      <c r="C19" s="389">
        <v>0.25027957951241342</v>
      </c>
      <c r="D19" s="389">
        <v>0.2598415293673752</v>
      </c>
      <c r="E19" s="389">
        <v>0.23370893293510722</v>
      </c>
      <c r="F19" s="389">
        <v>0.23052235502434712</v>
      </c>
      <c r="G19" s="293">
        <v>0.22946582423894299</v>
      </c>
      <c r="H19" s="293">
        <v>0.23786843997124374</v>
      </c>
      <c r="I19" s="293">
        <v>0.23878737541528239</v>
      </c>
      <c r="J19" s="293">
        <v>0.26909738494704283</v>
      </c>
      <c r="K19" s="388">
        <v>0.26947264790957914</v>
      </c>
      <c r="L19" s="293">
        <v>0.27496717386267089</v>
      </c>
      <c r="M19" s="293">
        <v>0.27515789473684205</v>
      </c>
      <c r="N19" s="363">
        <v>0.28812565484814068</v>
      </c>
      <c r="O19" s="388">
        <v>0.28831367037184275</v>
      </c>
      <c r="P19" s="293">
        <v>0.28698758129079815</v>
      </c>
      <c r="Q19" s="293">
        <v>0.29803330860835175</v>
      </c>
      <c r="R19" s="363">
        <v>0.32433354928468261</v>
      </c>
      <c r="S19" s="388">
        <v>0.31524326505321476</v>
      </c>
      <c r="T19" s="293">
        <f>+T17/T15</f>
        <v>0.31855640851308853</v>
      </c>
      <c r="U19" s="293">
        <f>+U17/U15</f>
        <v>0.33891363021370446</v>
      </c>
      <c r="V19" s="363">
        <f>+V17/V15</f>
        <v>0.35946209970916154</v>
      </c>
      <c r="W19" s="363">
        <f>+W17/W15</f>
        <v>0.36797572096474418</v>
      </c>
      <c r="Y19" s="388">
        <v>0.21814367211950669</v>
      </c>
      <c r="Z19" s="293">
        <v>0.26019206360301694</v>
      </c>
      <c r="AA19" s="388">
        <v>0.27245371948546548</v>
      </c>
      <c r="AB19" s="293">
        <v>0.23056291312966581</v>
      </c>
      <c r="AC19" s="293">
        <v>0.26909738494704283</v>
      </c>
      <c r="AD19" s="293">
        <v>0.28812565484814068</v>
      </c>
      <c r="AE19" s="293">
        <v>0.32433354928468261</v>
      </c>
      <c r="AF19" s="363">
        <v>0.35946209970916154</v>
      </c>
    </row>
    <row r="20" spans="2:42" x14ac:dyDescent="0.25">
      <c r="B20" s="78"/>
      <c r="C20" s="340"/>
      <c r="D20" s="340"/>
      <c r="E20" s="340"/>
      <c r="F20" s="340"/>
      <c r="G20" s="65"/>
      <c r="H20" s="65"/>
      <c r="I20" s="65"/>
      <c r="J20" s="65"/>
      <c r="K20" s="485"/>
      <c r="L20" s="65"/>
      <c r="M20" s="65"/>
      <c r="N20" s="72"/>
      <c r="O20" s="66"/>
      <c r="P20" s="66"/>
      <c r="Q20" s="66"/>
      <c r="R20" s="66"/>
      <c r="S20" s="71"/>
      <c r="T20" s="66"/>
      <c r="U20" s="66"/>
      <c r="V20" s="67"/>
      <c r="W20" s="67"/>
      <c r="Y20" s="71"/>
      <c r="Z20" s="66"/>
      <c r="AA20" s="71"/>
      <c r="AB20" s="66"/>
      <c r="AC20" s="65"/>
      <c r="AD20" s="65"/>
      <c r="AE20" s="65"/>
      <c r="AF20" s="72"/>
    </row>
    <row r="21" spans="2:42" s="168" customFormat="1" x14ac:dyDescent="0.25">
      <c r="B21" s="79" t="s">
        <v>57</v>
      </c>
      <c r="C21" s="117">
        <v>5011.6743081464683</v>
      </c>
      <c r="D21" s="117">
        <v>5059.2209999999995</v>
      </c>
      <c r="E21" s="117">
        <v>3374</v>
      </c>
      <c r="F21" s="117">
        <v>2702.8</v>
      </c>
      <c r="G21" s="18">
        <v>2441.1</v>
      </c>
      <c r="H21" s="18">
        <v>2408.4</v>
      </c>
      <c r="I21" s="18">
        <v>2256.1999999999998</v>
      </c>
      <c r="J21" s="18">
        <v>2093.5</v>
      </c>
      <c r="K21" s="62">
        <v>2230.7982331078674</v>
      </c>
      <c r="L21" s="18">
        <v>2096</v>
      </c>
      <c r="M21" s="18">
        <v>2193.1</v>
      </c>
      <c r="N21" s="63">
        <v>2065.8658199373167</v>
      </c>
      <c r="O21" s="18">
        <v>2285.4395559982513</v>
      </c>
      <c r="P21" s="18">
        <v>2417.9565911970731</v>
      </c>
      <c r="Q21" s="18">
        <v>2372.0201895329219</v>
      </c>
      <c r="R21" s="18">
        <v>2408.0263487186003</v>
      </c>
      <c r="S21" s="62">
        <v>2647.3853073083515</v>
      </c>
      <c r="T21" s="18">
        <v>2571.2808376159992</v>
      </c>
      <c r="U21" s="18">
        <v>2652.0514569465399</v>
      </c>
      <c r="V21" s="63">
        <v>2368.6705941429555</v>
      </c>
      <c r="W21" s="63">
        <v>2716.6003481753169</v>
      </c>
      <c r="Y21" s="62"/>
      <c r="Z21" s="18">
        <v>650.69999999999993</v>
      </c>
      <c r="AA21" s="62">
        <v>2209.414246786519</v>
      </c>
      <c r="AB21" s="18">
        <v>2702.7849293203258</v>
      </c>
      <c r="AC21" s="18">
        <v>2093.5</v>
      </c>
      <c r="AD21" s="18">
        <v>2065.8658199373167</v>
      </c>
      <c r="AE21" s="18">
        <v>2408.0263487186003</v>
      </c>
      <c r="AF21" s="63">
        <v>2368.6705941429555</v>
      </c>
    </row>
    <row r="22" spans="2:42" x14ac:dyDescent="0.25">
      <c r="B22" s="79" t="s">
        <v>58</v>
      </c>
      <c r="C22" s="345">
        <v>6.4042093197716574E-2</v>
      </c>
      <c r="D22" s="345">
        <v>6.1119805581063648E-2</v>
      </c>
      <c r="E22" s="345">
        <v>3.9399999999999998E-2</v>
      </c>
      <c r="F22" s="345">
        <v>2.9600000000000001E-2</v>
      </c>
      <c r="G22" s="17">
        <v>2.53E-2</v>
      </c>
      <c r="H22" s="17">
        <v>2.3699999999999999E-2</v>
      </c>
      <c r="I22" s="17">
        <v>2.12E-2</v>
      </c>
      <c r="J22" s="17">
        <v>1.8100000000000002E-2</v>
      </c>
      <c r="K22" s="64">
        <v>1.8604004936787235E-2</v>
      </c>
      <c r="L22" s="17">
        <v>1.6799999999999999E-2</v>
      </c>
      <c r="M22" s="17">
        <v>1.6799999999999999E-2</v>
      </c>
      <c r="N22" s="61">
        <v>1.4662776558588508E-2</v>
      </c>
      <c r="O22" s="17">
        <v>1.5723407990358124E-2</v>
      </c>
      <c r="P22" s="17">
        <v>1.6327431031101201E-2</v>
      </c>
      <c r="Q22" s="17">
        <v>1.538512131347127E-2</v>
      </c>
      <c r="R22" s="17">
        <v>1.4739672778260002E-2</v>
      </c>
      <c r="S22" s="64">
        <v>1.6200434609330367E-2</v>
      </c>
      <c r="T22" s="94">
        <v>1.5319587122942015E-2</v>
      </c>
      <c r="U22" s="94">
        <v>1.5216254152227538E-2</v>
      </c>
      <c r="V22" s="95">
        <v>1.2802006674049453E-2</v>
      </c>
      <c r="W22" s="95">
        <v>1.4392839288209773E-2</v>
      </c>
      <c r="X22" s="557"/>
      <c r="Y22" s="64"/>
      <c r="Z22" s="17">
        <v>1.0492006354165436E-2</v>
      </c>
      <c r="AA22" s="64">
        <v>2.9175406047476961E-2</v>
      </c>
      <c r="AB22" s="17">
        <v>2.9643150244327499E-2</v>
      </c>
      <c r="AC22" s="17">
        <v>1.8100000000000002E-2</v>
      </c>
      <c r="AD22" s="17">
        <v>1.4662776558588508E-2</v>
      </c>
      <c r="AE22" s="17">
        <v>1.4739672778260002E-2</v>
      </c>
      <c r="AF22" s="61">
        <v>1.2802006674049453E-2</v>
      </c>
    </row>
    <row r="23" spans="2:42" s="168" customFormat="1" x14ac:dyDescent="0.25">
      <c r="B23" s="79" t="s">
        <v>59</v>
      </c>
      <c r="C23" s="117">
        <v>257.87902344080794</v>
      </c>
      <c r="D23" s="117">
        <v>290.30799999999999</v>
      </c>
      <c r="E23" s="117">
        <v>245.5</v>
      </c>
      <c r="F23" s="117">
        <v>218</v>
      </c>
      <c r="G23" s="18">
        <v>182.10000000000002</v>
      </c>
      <c r="H23" s="18">
        <v>164.1</v>
      </c>
      <c r="I23" s="18">
        <v>156.1</v>
      </c>
      <c r="J23" s="18">
        <v>169.4</v>
      </c>
      <c r="K23" s="62">
        <v>176.11599547073257</v>
      </c>
      <c r="L23" s="18">
        <v>161.80000000000001</v>
      </c>
      <c r="M23" s="18">
        <v>161.1</v>
      </c>
      <c r="N23" s="63">
        <v>152.49850539456565</v>
      </c>
      <c r="O23" s="117">
        <v>160.23021833559932</v>
      </c>
      <c r="P23" s="117">
        <v>162.6304838074447</v>
      </c>
      <c r="Q23" s="117">
        <v>256.39684710340538</v>
      </c>
      <c r="R23" s="117">
        <v>267.46458104958782</v>
      </c>
      <c r="S23" s="119">
        <v>258.99753043031052</v>
      </c>
      <c r="T23" s="117">
        <v>245.46882522833562</v>
      </c>
      <c r="U23" s="117">
        <v>250.73854996663002</v>
      </c>
      <c r="V23" s="118">
        <v>235.46655958635779</v>
      </c>
      <c r="W23" s="118">
        <v>265.17821540775265</v>
      </c>
      <c r="Y23" s="62"/>
      <c r="Z23" s="19">
        <v>7.7200000000000006</v>
      </c>
      <c r="AA23" s="567">
        <v>84.536138895177189</v>
      </c>
      <c r="AB23" s="19">
        <v>218.00820219496524</v>
      </c>
      <c r="AC23" s="19">
        <v>169.4</v>
      </c>
      <c r="AD23" s="19">
        <v>152.49850539456565</v>
      </c>
      <c r="AE23" s="19">
        <v>267.46458104958782</v>
      </c>
      <c r="AF23" s="73">
        <v>235.46655958635779</v>
      </c>
    </row>
    <row r="24" spans="2:42" s="168" customFormat="1" x14ac:dyDescent="0.25">
      <c r="B24" s="79" t="s">
        <v>60</v>
      </c>
      <c r="C24" s="117">
        <v>4753.7952847056604</v>
      </c>
      <c r="D24" s="117">
        <v>4768.9130000000005</v>
      </c>
      <c r="E24" s="117">
        <v>3128.5</v>
      </c>
      <c r="F24" s="117">
        <v>2484.8000000000002</v>
      </c>
      <c r="G24" s="18">
        <v>2259</v>
      </c>
      <c r="H24" s="18">
        <v>2244.3000000000002</v>
      </c>
      <c r="I24" s="18">
        <v>2100.1</v>
      </c>
      <c r="J24" s="18">
        <v>1924.1</v>
      </c>
      <c r="K24" s="62">
        <v>2054.6822376371347</v>
      </c>
      <c r="L24" s="18">
        <v>1934.2</v>
      </c>
      <c r="M24" s="18">
        <v>2032</v>
      </c>
      <c r="N24" s="70">
        <v>1913.367314542751</v>
      </c>
      <c r="O24" s="18">
        <v>2125.2093376626522</v>
      </c>
      <c r="P24" s="18">
        <v>2255.3261073896283</v>
      </c>
      <c r="Q24" s="18">
        <v>2115.6233424295165</v>
      </c>
      <c r="R24" s="18">
        <v>2140.5617676690126</v>
      </c>
      <c r="S24" s="62">
        <v>2388.3877768780408</v>
      </c>
      <c r="T24" s="18">
        <f>+T21-T23</f>
        <v>2325.8120123876633</v>
      </c>
      <c r="U24" s="18">
        <f>+U21-U23</f>
        <v>2401.3129069799097</v>
      </c>
      <c r="V24" s="63">
        <f>+V21-V23</f>
        <v>2133.2040345565974</v>
      </c>
      <c r="W24" s="63">
        <f>+W21-W23</f>
        <v>2451.4221327675641</v>
      </c>
      <c r="Y24" s="62"/>
      <c r="Z24" s="18">
        <v>642.9799999999999</v>
      </c>
      <c r="AA24" s="62">
        <v>2124.8781078913416</v>
      </c>
      <c r="AB24" s="18">
        <v>2484.7767271253606</v>
      </c>
      <c r="AC24" s="18">
        <v>1924.1</v>
      </c>
      <c r="AD24" s="18">
        <v>1913.367314542751</v>
      </c>
      <c r="AE24" s="18">
        <v>2140.5617676690126</v>
      </c>
      <c r="AF24" s="63">
        <v>2133.2040345565974</v>
      </c>
    </row>
    <row r="25" spans="2:42" s="214" customFormat="1" x14ac:dyDescent="0.25">
      <c r="B25" s="387" t="s">
        <v>61</v>
      </c>
      <c r="C25" s="293">
        <v>5.1455662835397348E-2</v>
      </c>
      <c r="D25" s="293">
        <v>5.7381956629291353E-2</v>
      </c>
      <c r="E25" s="293">
        <v>7.2762299940723182E-2</v>
      </c>
      <c r="F25" s="293">
        <v>8.0657096344531595E-2</v>
      </c>
      <c r="G25" s="293">
        <v>7.45975175125968E-2</v>
      </c>
      <c r="H25" s="293">
        <v>6.8136522172396519E-2</v>
      </c>
      <c r="I25" s="293">
        <v>6.9187128800638154E-2</v>
      </c>
      <c r="J25" s="293">
        <v>8.0917124432768106E-2</v>
      </c>
      <c r="K25" s="388">
        <v>7.8947523293208977E-2</v>
      </c>
      <c r="L25" s="293">
        <v>7.7194656488549618E-2</v>
      </c>
      <c r="M25" s="293">
        <v>7.3457662669280888E-2</v>
      </c>
      <c r="N25" s="363">
        <v>7.3818204417164357E-2</v>
      </c>
      <c r="O25" s="293">
        <v>7.0109147238248681E-2</v>
      </c>
      <c r="P25" s="293">
        <v>6.725947206807803E-2</v>
      </c>
      <c r="Q25" s="293">
        <v>0.10809218582321294</v>
      </c>
      <c r="R25" s="293">
        <v>0.11107211563192222</v>
      </c>
      <c r="S25" s="388">
        <v>9.7831445130153113E-2</v>
      </c>
      <c r="T25" s="293">
        <f>+T23/T21</f>
        <v>9.5465583392254291E-2</v>
      </c>
      <c r="U25" s="293">
        <f>+U23/U21</f>
        <v>9.4545130076518116E-2</v>
      </c>
      <c r="V25" s="363">
        <f>+V23/V21</f>
        <v>9.9408740146730068E-2</v>
      </c>
      <c r="W25" s="363">
        <f>+W23/W21</f>
        <v>9.7613995958539604E-2</v>
      </c>
      <c r="Y25" s="388"/>
      <c r="Z25" s="293">
        <v>1.1864146303980361E-2</v>
      </c>
      <c r="AA25" s="388">
        <v>3.8261787719587215E-2</v>
      </c>
      <c r="AB25" s="293">
        <v>8.0660580806845017E-2</v>
      </c>
      <c r="AC25" s="293">
        <v>8.0917124432768106E-2</v>
      </c>
      <c r="AD25" s="293">
        <v>7.3818204417164357E-2</v>
      </c>
      <c r="AE25" s="293">
        <v>0.11107211563192222</v>
      </c>
      <c r="AF25" s="363">
        <v>9.9408740146730068E-2</v>
      </c>
      <c r="AH25" s="204"/>
      <c r="AI25" s="204"/>
      <c r="AJ25" s="204"/>
      <c r="AK25" s="204"/>
      <c r="AL25" s="204"/>
      <c r="AM25" s="204"/>
      <c r="AN25" s="204"/>
      <c r="AO25" s="204"/>
      <c r="AP25" s="204"/>
    </row>
    <row r="26" spans="2:42" x14ac:dyDescent="0.25">
      <c r="B26" s="79"/>
      <c r="C26" s="149"/>
      <c r="D26" s="149"/>
      <c r="E26" s="149"/>
      <c r="F26" s="149"/>
      <c r="G26" s="75"/>
      <c r="H26" s="75"/>
      <c r="I26" s="75"/>
      <c r="J26" s="75"/>
      <c r="K26" s="485"/>
      <c r="L26" s="65"/>
      <c r="M26" s="65"/>
      <c r="N26" s="72"/>
      <c r="O26" s="75"/>
      <c r="P26" s="75"/>
      <c r="Q26" s="75"/>
      <c r="R26" s="75"/>
      <c r="S26" s="485"/>
      <c r="T26" s="65"/>
      <c r="U26" s="65"/>
      <c r="V26" s="72"/>
      <c r="W26" s="72"/>
      <c r="Y26" s="74"/>
      <c r="Z26" s="75"/>
      <c r="AA26" s="74"/>
      <c r="AB26" s="75"/>
      <c r="AC26" s="75"/>
      <c r="AD26" s="75"/>
      <c r="AE26" s="75"/>
      <c r="AF26" s="68"/>
    </row>
    <row r="27" spans="2:42" s="168" customFormat="1" x14ac:dyDescent="0.25">
      <c r="B27" s="79" t="s">
        <v>168</v>
      </c>
      <c r="C27" s="117">
        <v>72350.104099388816</v>
      </c>
      <c r="D27" s="117">
        <v>76921.157000000007</v>
      </c>
      <c r="E27" s="117">
        <v>80721</v>
      </c>
      <c r="F27" s="117">
        <v>87571</v>
      </c>
      <c r="G27" s="18">
        <v>93079.4</v>
      </c>
      <c r="H27" s="18">
        <v>97945.8</v>
      </c>
      <c r="I27" s="18">
        <v>102743.1</v>
      </c>
      <c r="J27" s="18">
        <v>112318.39999999999</v>
      </c>
      <c r="K27" s="62">
        <v>116485.3377739446</v>
      </c>
      <c r="L27" s="18">
        <v>121432.8</v>
      </c>
      <c r="M27" s="18">
        <v>127159.9</v>
      </c>
      <c r="N27" s="63">
        <v>137507.41377731253</v>
      </c>
      <c r="O27" s="18">
        <v>141601.12353145645</v>
      </c>
      <c r="P27" s="18">
        <v>144073.07073768301</v>
      </c>
      <c r="Q27" s="18">
        <v>150047.35804126199</v>
      </c>
      <c r="R27" s="18">
        <v>159198.99096111898</v>
      </c>
      <c r="S27" s="62">
        <v>158779.65998899101</v>
      </c>
      <c r="T27" s="18">
        <v>163190.90125576223</v>
      </c>
      <c r="U27" s="18">
        <v>169572.52159369001</v>
      </c>
      <c r="V27" s="63">
        <v>180717.08119432253</v>
      </c>
      <c r="W27" s="63">
        <v>183929.23264414107</v>
      </c>
      <c r="Y27" s="62">
        <v>47149.860295404702</v>
      </c>
      <c r="Z27" s="18">
        <v>61083.826000000001</v>
      </c>
      <c r="AA27" s="62">
        <v>72780.105020573799</v>
      </c>
      <c r="AB27" s="18">
        <v>87571.006897627522</v>
      </c>
      <c r="AC27" s="18">
        <v>112318.39999999999</v>
      </c>
      <c r="AD27" s="18">
        <v>137507.41377731253</v>
      </c>
      <c r="AE27" s="18">
        <v>159198.99096111898</v>
      </c>
      <c r="AF27" s="63">
        <v>180717.08119432253</v>
      </c>
    </row>
    <row r="28" spans="2:42" x14ac:dyDescent="0.25">
      <c r="B28" s="79" t="s">
        <v>62</v>
      </c>
      <c r="C28" s="345">
        <v>0.92453176816895011</v>
      </c>
      <c r="D28" s="345">
        <v>0.92927471658393124</v>
      </c>
      <c r="E28" s="345">
        <v>0.94340000000000002</v>
      </c>
      <c r="F28" s="345">
        <v>0.96040000000000003</v>
      </c>
      <c r="G28" s="17">
        <v>0.96389999999999998</v>
      </c>
      <c r="H28" s="17">
        <v>0.96530000000000005</v>
      </c>
      <c r="I28" s="17">
        <v>0.96740000000000004</v>
      </c>
      <c r="J28" s="17">
        <v>0.97260000000000002</v>
      </c>
      <c r="K28" s="64">
        <v>0.97144321115526322</v>
      </c>
      <c r="L28" s="17">
        <v>0.9728</v>
      </c>
      <c r="M28" s="17">
        <v>0.97230000000000005</v>
      </c>
      <c r="N28" s="61">
        <v>0.97597843185540767</v>
      </c>
      <c r="O28" s="17">
        <v>0.97418994579609597</v>
      </c>
      <c r="P28" s="17">
        <v>0.97286408468726682</v>
      </c>
      <c r="Q28" s="17">
        <v>0.97321971221722359</v>
      </c>
      <c r="R28" s="17">
        <v>0.97446651056984757</v>
      </c>
      <c r="S28" s="64">
        <v>0.97163774832559802</v>
      </c>
      <c r="T28" s="17">
        <v>0.97228478230989535</v>
      </c>
      <c r="U28" s="17">
        <v>0.97292930687494283</v>
      </c>
      <c r="V28" s="61">
        <v>0.97672563052252992</v>
      </c>
      <c r="W28" s="61">
        <v>0.97447675276526424</v>
      </c>
      <c r="X28" s="227"/>
      <c r="Y28" s="64">
        <v>0.99529887455494082</v>
      </c>
      <c r="Z28" s="17">
        <v>0.98492683345433529</v>
      </c>
      <c r="AA28" s="64">
        <v>0.96106428173965963</v>
      </c>
      <c r="AB28" s="17">
        <v>0.96044656988900823</v>
      </c>
      <c r="AC28" s="17">
        <v>0.97260000000000002</v>
      </c>
      <c r="AD28" s="17">
        <v>0.97597843185540767</v>
      </c>
      <c r="AE28" s="17">
        <v>0.97446651056984757</v>
      </c>
      <c r="AF28" s="61">
        <v>0.97672563052252992</v>
      </c>
    </row>
    <row r="29" spans="2:42" s="168" customFormat="1" x14ac:dyDescent="0.25">
      <c r="B29" s="79" t="s">
        <v>63</v>
      </c>
      <c r="C29" s="117">
        <v>180.51054329146879</v>
      </c>
      <c r="D29" s="117">
        <v>203.67500000000001</v>
      </c>
      <c r="E29" s="117">
        <v>203.7</v>
      </c>
      <c r="F29" s="117">
        <v>216.8</v>
      </c>
      <c r="G29" s="18">
        <v>225</v>
      </c>
      <c r="H29" s="18">
        <v>220.39999999999998</v>
      </c>
      <c r="I29" s="18">
        <v>231.7</v>
      </c>
      <c r="J29" s="18">
        <v>259.60000000000002</v>
      </c>
      <c r="K29" s="62">
        <v>267.84996304660291</v>
      </c>
      <c r="L29" s="18">
        <v>279.60000000000002</v>
      </c>
      <c r="M29" s="18">
        <v>292.3</v>
      </c>
      <c r="N29" s="63">
        <v>315.77417391393749</v>
      </c>
      <c r="O29" s="117">
        <v>324.57195863472282</v>
      </c>
      <c r="P29" s="117">
        <v>324.1204631238989</v>
      </c>
      <c r="Q29" s="117">
        <v>225.41370159145757</v>
      </c>
      <c r="R29" s="117">
        <v>233.92328014186901</v>
      </c>
      <c r="S29" s="119">
        <v>256.43462537716272</v>
      </c>
      <c r="T29" s="117">
        <v>304.10726157771336</v>
      </c>
      <c r="U29" s="117">
        <v>317.16892260406803</v>
      </c>
      <c r="V29" s="118">
        <v>364.46516995800522</v>
      </c>
      <c r="W29" s="118">
        <v>369.10530842042073</v>
      </c>
      <c r="Y29" s="62">
        <v>79.083058345460103</v>
      </c>
      <c r="Z29" s="18">
        <v>128.994</v>
      </c>
      <c r="AA29" s="62">
        <v>209.8753033442253</v>
      </c>
      <c r="AB29" s="18">
        <v>216.80688280503475</v>
      </c>
      <c r="AC29" s="18">
        <v>259.60000000000002</v>
      </c>
      <c r="AD29" s="18">
        <v>315.77417391393749</v>
      </c>
      <c r="AE29" s="18">
        <v>233.92328014186901</v>
      </c>
      <c r="AF29" s="63">
        <v>364.46516995800522</v>
      </c>
    </row>
    <row r="30" spans="2:42" s="168" customFormat="1" x14ac:dyDescent="0.25">
      <c r="B30" s="119" t="s">
        <v>64</v>
      </c>
      <c r="C30" s="117">
        <v>72169.593556097345</v>
      </c>
      <c r="D30" s="117">
        <v>76717.482000000004</v>
      </c>
      <c r="E30" s="117">
        <v>80517.3</v>
      </c>
      <c r="F30" s="117">
        <v>87354.2</v>
      </c>
      <c r="G30" s="18">
        <v>92854.399999999994</v>
      </c>
      <c r="H30" s="18">
        <v>97725.400000000009</v>
      </c>
      <c r="I30" s="18">
        <v>102511.40000000001</v>
      </c>
      <c r="J30" s="18">
        <v>112058.79999999999</v>
      </c>
      <c r="K30" s="62">
        <v>116217.487810898</v>
      </c>
      <c r="L30" s="18">
        <v>121153.2</v>
      </c>
      <c r="M30" s="18">
        <v>126867.59999999999</v>
      </c>
      <c r="N30" s="63">
        <v>137191.63960339859</v>
      </c>
      <c r="O30" s="18">
        <v>141276.55157282174</v>
      </c>
      <c r="P30" s="18">
        <v>143748.95027455912</v>
      </c>
      <c r="Q30" s="18">
        <v>149821.94433967053</v>
      </c>
      <c r="R30" s="18">
        <v>158965.06768097711</v>
      </c>
      <c r="S30" s="62">
        <v>158523.22536361386</v>
      </c>
      <c r="T30" s="18">
        <f>+T27-T29</f>
        <v>162886.79399418453</v>
      </c>
      <c r="U30" s="18">
        <f>+U27-U29</f>
        <v>169255.35267108594</v>
      </c>
      <c r="V30" s="63">
        <f>+V27-V29</f>
        <v>180352.61602436451</v>
      </c>
      <c r="W30" s="63">
        <f>+W27-W29</f>
        <v>183560.12733572064</v>
      </c>
      <c r="Y30" s="62">
        <v>47070.777237059243</v>
      </c>
      <c r="Z30" s="18">
        <v>60954.832000000002</v>
      </c>
      <c r="AA30" s="62">
        <v>72570.22971722958</v>
      </c>
      <c r="AB30" s="18">
        <v>87354.200014822491</v>
      </c>
      <c r="AC30" s="18">
        <v>112058.79999999999</v>
      </c>
      <c r="AD30" s="18">
        <v>137191.63960339859</v>
      </c>
      <c r="AE30" s="18">
        <v>158965.06768097711</v>
      </c>
      <c r="AF30" s="63">
        <v>180352.61602436451</v>
      </c>
    </row>
    <row r="31" spans="2:42" s="214" customFormat="1" x14ac:dyDescent="0.25">
      <c r="B31" s="387" t="s">
        <v>156</v>
      </c>
      <c r="C31" s="293">
        <v>2.4949589988633295E-3</v>
      </c>
      <c r="D31" s="293">
        <v>2.647841087465702E-3</v>
      </c>
      <c r="E31" s="293">
        <v>2.5235068941167724E-3</v>
      </c>
      <c r="F31" s="293">
        <v>2.4757054275958939E-3</v>
      </c>
      <c r="G31" s="293">
        <v>2.417291043990355E-3</v>
      </c>
      <c r="H31" s="293">
        <v>2.2502241035347037E-3</v>
      </c>
      <c r="I31" s="293">
        <v>2.2551392745595589E-3</v>
      </c>
      <c r="J31" s="293">
        <v>2.3112864855625581E-3</v>
      </c>
      <c r="K31" s="388">
        <v>2.2994307108967771E-3</v>
      </c>
      <c r="L31" s="293">
        <v>2.3025080538372489E-3</v>
      </c>
      <c r="M31" s="293">
        <v>2.2986806375280278E-3</v>
      </c>
      <c r="N31" s="363">
        <v>2.2964156276352732E-3</v>
      </c>
      <c r="O31" s="293">
        <v>2.2921566618968603E-3</v>
      </c>
      <c r="P31" s="293">
        <v>2.2496949739763128E-3</v>
      </c>
      <c r="Q31" s="293">
        <v>1.5022837091838055E-3</v>
      </c>
      <c r="R31" s="293">
        <v>1.4693766507540233E-3</v>
      </c>
      <c r="S31" s="388">
        <v>1.615034478565722E-3</v>
      </c>
      <c r="T31" s="293">
        <f>+T29/T27</f>
        <v>1.8635062325018895E-3</v>
      </c>
      <c r="U31" s="293">
        <f>+U29/U27</f>
        <v>1.8704028201221858E-3</v>
      </c>
      <c r="V31" s="363">
        <f>+V29/V27</f>
        <v>2.0167721144527615E-3</v>
      </c>
      <c r="W31" s="363">
        <f>+W29/W27</f>
        <v>2.0067789285814668E-3</v>
      </c>
      <c r="Y31" s="388">
        <v>1.677270258066188E-3</v>
      </c>
      <c r="Z31" s="293">
        <v>2.1117537725944269E-3</v>
      </c>
      <c r="AA31" s="388">
        <v>2.8836905811676639E-3</v>
      </c>
      <c r="AB31" s="293">
        <v>2.4757838294412471E-3</v>
      </c>
      <c r="AC31" s="293">
        <v>2.3112864855625581E-3</v>
      </c>
      <c r="AD31" s="293">
        <v>2.2964156276352732E-3</v>
      </c>
      <c r="AE31" s="293">
        <v>1.4693766507540233E-3</v>
      </c>
      <c r="AF31" s="363">
        <v>2.0167721144527615E-3</v>
      </c>
    </row>
    <row r="32" spans="2:42" x14ac:dyDescent="0.25">
      <c r="B32" s="79"/>
      <c r="C32" s="149"/>
      <c r="D32" s="149"/>
      <c r="E32" s="149"/>
      <c r="F32" s="149"/>
      <c r="K32" s="486"/>
      <c r="L32" s="487"/>
      <c r="M32" s="487"/>
      <c r="N32" s="488"/>
      <c r="S32" s="486"/>
      <c r="T32" s="487"/>
      <c r="U32" s="487"/>
      <c r="V32" s="488"/>
      <c r="W32" s="488"/>
      <c r="Y32" s="74"/>
      <c r="Z32" s="75"/>
      <c r="AA32" s="74"/>
      <c r="AB32" s="75"/>
      <c r="AC32" s="75"/>
      <c r="AD32" s="75"/>
      <c r="AE32" s="75"/>
      <c r="AF32" s="68"/>
    </row>
    <row r="33" spans="2:33" s="168" customFormat="1" x14ac:dyDescent="0.25">
      <c r="B33" s="79" t="s">
        <v>65</v>
      </c>
      <c r="C33" s="117">
        <v>78255.97840753528</v>
      </c>
      <c r="D33" s="117">
        <v>82775.478000000017</v>
      </c>
      <c r="E33" s="117">
        <v>85568.2</v>
      </c>
      <c r="F33" s="117">
        <v>91177.400000000009</v>
      </c>
      <c r="G33" s="18">
        <v>96565.1</v>
      </c>
      <c r="H33" s="18">
        <v>101467</v>
      </c>
      <c r="I33" s="18">
        <v>106203.3</v>
      </c>
      <c r="J33" s="18">
        <v>115478.79999999999</v>
      </c>
      <c r="K33" s="62">
        <v>119909.57004621762</v>
      </c>
      <c r="L33" s="18">
        <v>124823.5</v>
      </c>
      <c r="M33" s="18">
        <v>130778</v>
      </c>
      <c r="N33" s="63">
        <v>140891.85712424063</v>
      </c>
      <c r="O33" s="117">
        <v>145352.68418905901</v>
      </c>
      <c r="P33" s="117">
        <v>148091.67385801501</v>
      </c>
      <c r="Q33" s="117">
        <v>154176.24217600236</v>
      </c>
      <c r="R33" s="117">
        <v>163370.40753511657</v>
      </c>
      <c r="S33" s="119">
        <v>163414.46209002534</v>
      </c>
      <c r="T33" s="117">
        <f>+T27+T21+T15</f>
        <v>167842.69817333066</v>
      </c>
      <c r="U33" s="117">
        <f>+U27+U21+U15</f>
        <v>174290.69141555452</v>
      </c>
      <c r="V33" s="118">
        <f>+V27+V21+V15</f>
        <v>185023.38379063757</v>
      </c>
      <c r="W33" s="118">
        <f>+W27+W21+W15</f>
        <v>188746.66032022485</v>
      </c>
      <c r="Y33" s="119">
        <v>47372.564664546917</v>
      </c>
      <c r="Z33" s="117">
        <v>62018.643339999995</v>
      </c>
      <c r="AA33" s="119">
        <v>75728.654579516486</v>
      </c>
      <c r="AB33" s="117">
        <v>91177.39182694786</v>
      </c>
      <c r="AC33" s="18">
        <v>115478.79999999999</v>
      </c>
      <c r="AD33" s="18">
        <v>140891.85712424063</v>
      </c>
      <c r="AE33" s="18">
        <v>163370.40753511657</v>
      </c>
      <c r="AF33" s="63">
        <v>185023.38379063757</v>
      </c>
    </row>
    <row r="34" spans="2:33" x14ac:dyDescent="0.25">
      <c r="B34" s="79" t="s">
        <v>66</v>
      </c>
      <c r="C34" s="117">
        <v>662.18956673227683</v>
      </c>
      <c r="D34" s="117">
        <v>700.58300000000008</v>
      </c>
      <c r="E34" s="117">
        <v>793.5</v>
      </c>
      <c r="F34" s="117">
        <v>643.10000000000014</v>
      </c>
      <c r="G34" s="69">
        <v>646.79999999999995</v>
      </c>
      <c r="H34" s="69">
        <v>649.20000000000005</v>
      </c>
      <c r="I34" s="69">
        <v>675.3</v>
      </c>
      <c r="J34" s="69">
        <v>716.1</v>
      </c>
      <c r="K34" s="489">
        <v>765.56378915659093</v>
      </c>
      <c r="L34" s="69">
        <v>797.40000000000009</v>
      </c>
      <c r="M34" s="69">
        <v>845.5</v>
      </c>
      <c r="N34" s="70">
        <v>848.18869274076735</v>
      </c>
      <c r="O34" s="69">
        <v>907.50493298347124</v>
      </c>
      <c r="P34" s="69">
        <v>946.11662282928501</v>
      </c>
      <c r="Q34" s="69">
        <v>1005.4145230597559</v>
      </c>
      <c r="R34" s="69">
        <v>1073.3144717301079</v>
      </c>
      <c r="S34" s="489">
        <v>1141.9519148832405</v>
      </c>
      <c r="T34" s="69">
        <f>+T29+T23+T17</f>
        <v>1212.3378170894189</v>
      </c>
      <c r="U34" s="69">
        <f>+U29+U23+U17</f>
        <v>1268.143148076254</v>
      </c>
      <c r="V34" s="70">
        <f>+V29+V23+V17</f>
        <v>1296.4369975088098</v>
      </c>
      <c r="W34" s="70">
        <f>+W29+W23+W17</f>
        <v>1407.3369744377258</v>
      </c>
      <c r="X34" s="229"/>
      <c r="Y34" s="76">
        <v>127.66460722720061</v>
      </c>
      <c r="Z34" s="16">
        <v>210.63907699999999</v>
      </c>
      <c r="AA34" s="76">
        <v>495.79160723940248</v>
      </c>
      <c r="AB34" s="16">
        <v>643.15173330396601</v>
      </c>
      <c r="AC34" s="16">
        <v>716.1</v>
      </c>
      <c r="AD34" s="16">
        <v>848.18869274076735</v>
      </c>
      <c r="AE34" s="16">
        <v>1073.3144717301079</v>
      </c>
      <c r="AF34" s="77">
        <v>1296.4369975088098</v>
      </c>
      <c r="AG34" s="135"/>
    </row>
    <row r="35" spans="2:33" s="214" customFormat="1" x14ac:dyDescent="0.25">
      <c r="B35" s="387" t="s">
        <v>67</v>
      </c>
      <c r="C35" s="293">
        <v>8.461839979608695E-3</v>
      </c>
      <c r="D35" s="293">
        <v>8.4636539338377482E-3</v>
      </c>
      <c r="E35" s="293">
        <v>9.2733048024850363E-3</v>
      </c>
      <c r="F35" s="293">
        <v>7.0532829407287338E-3</v>
      </c>
      <c r="G35" s="293">
        <v>6.6980720778003636E-3</v>
      </c>
      <c r="H35" s="293">
        <v>6.3981392965200513E-3</v>
      </c>
      <c r="I35" s="293">
        <v>6.3585594797901752E-3</v>
      </c>
      <c r="J35" s="293">
        <v>6.2011382175775993E-3</v>
      </c>
      <c r="K35" s="388">
        <v>6.3845095004636757E-3</v>
      </c>
      <c r="L35" s="293">
        <v>6.3882201668756288E-3</v>
      </c>
      <c r="M35" s="293">
        <v>6.4651546896266959E-3</v>
      </c>
      <c r="N35" s="363">
        <v>6.0201399147774837E-3</v>
      </c>
      <c r="O35" s="293">
        <v>6.2434686916623241E-3</v>
      </c>
      <c r="P35" s="293">
        <v>6.3887225944679899E-3</v>
      </c>
      <c r="Q35" s="293">
        <v>6.5212026760388207E-3</v>
      </c>
      <c r="R35" s="293">
        <v>6.569821841813049E-3</v>
      </c>
      <c r="S35" s="388">
        <v>6.9880713143622326E-3</v>
      </c>
      <c r="T35" s="293">
        <f>+T34/T33</f>
        <v>7.2230596283517868E-3</v>
      </c>
      <c r="U35" s="293">
        <f>+U34/U33</f>
        <v>7.2760233938866511E-3</v>
      </c>
      <c r="V35" s="363">
        <f>+V34/V33</f>
        <v>7.0068818921601153E-3</v>
      </c>
      <c r="W35" s="363">
        <f>+W34/W33</f>
        <v>7.4562218587076361E-3</v>
      </c>
      <c r="Y35" s="388">
        <v>2.6949059678574535E-3</v>
      </c>
      <c r="Z35" s="293">
        <v>3.3963831786069511E-3</v>
      </c>
      <c r="AA35" s="388">
        <v>6.5469485757047507E-3</v>
      </c>
      <c r="AB35" s="293">
        <v>7.0538509647726051E-3</v>
      </c>
      <c r="AC35" s="293">
        <v>6.2011382175775993E-3</v>
      </c>
      <c r="AD35" s="293">
        <v>6.0201399147774837E-3</v>
      </c>
      <c r="AE35" s="293">
        <v>6.569821841813049E-3</v>
      </c>
      <c r="AF35" s="363">
        <v>7.0068818921601153E-3</v>
      </c>
    </row>
    <row r="36" spans="2:33" x14ac:dyDescent="0.25">
      <c r="O36" s="228"/>
      <c r="P36" s="228"/>
      <c r="Q36" s="228"/>
      <c r="R36" s="228"/>
      <c r="S36" s="228"/>
      <c r="T36" s="228"/>
      <c r="U36" s="228"/>
      <c r="V36" s="228"/>
      <c r="W36" s="228"/>
      <c r="Y36" s="228"/>
      <c r="Z36" s="228"/>
      <c r="AA36" s="228"/>
      <c r="AB36" s="228"/>
    </row>
    <row r="37" spans="2:33" ht="30" x14ac:dyDescent="0.25">
      <c r="B37" s="347" t="s">
        <v>235</v>
      </c>
      <c r="C37" s="290"/>
      <c r="D37" s="290"/>
      <c r="E37" s="290"/>
      <c r="F37" s="290"/>
      <c r="Q37" s="204"/>
      <c r="R37" s="204"/>
      <c r="S37" s="204"/>
      <c r="T37" s="204"/>
      <c r="U37" s="204"/>
      <c r="V37" s="204"/>
      <c r="W37" s="204"/>
    </row>
    <row r="38" spans="2:33" x14ac:dyDescent="0.25">
      <c r="B38" s="290"/>
      <c r="C38" s="113"/>
      <c r="D38" s="113"/>
      <c r="E38" s="113"/>
      <c r="F38" s="113"/>
    </row>
    <row r="39" spans="2:33" x14ac:dyDescent="0.25">
      <c r="B39" s="113"/>
      <c r="C39" s="113"/>
      <c r="D39" s="113"/>
      <c r="E39" s="113"/>
      <c r="F39" s="113"/>
    </row>
    <row r="40" spans="2:33" s="214" customFormat="1" x14ac:dyDescent="0.25"/>
    <row r="41" spans="2:33" s="214" customFormat="1" x14ac:dyDescent="0.25"/>
  </sheetData>
  <hyperlinks>
    <hyperlink ref="A1" location="Index!A1" display="Index" xr:uid="{00000000-0004-0000-0400-000000000000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6BB0-2670-495F-AA24-4E47D06B0844}">
  <sheetPr>
    <tabColor rgb="FF00B050"/>
  </sheetPr>
  <dimension ref="A1:AM1048576"/>
  <sheetViews>
    <sheetView showGridLines="0" zoomScale="80" zoomScaleNormal="80" workbookViewId="0">
      <pane xSplit="2" ySplit="3" topLeftCell="N11" activePane="bottomRight" state="frozen"/>
      <selection pane="topRight" activeCell="C1" sqref="C1"/>
      <selection pane="bottomLeft" activeCell="A4" sqref="A4"/>
      <selection pane="bottomRight" activeCell="AF13" sqref="AF13"/>
    </sheetView>
  </sheetViews>
  <sheetFormatPr defaultColWidth="9.140625" defaultRowHeight="15" outlineLevelCol="1" x14ac:dyDescent="0.25"/>
  <cols>
    <col min="1" max="1" width="5.85546875" style="113" bestFit="1" customWidth="1"/>
    <col min="2" max="2" width="51.28515625" style="507" bestFit="1" customWidth="1"/>
    <col min="3" max="6" width="10.28515625" style="507" hidden="1" customWidth="1" outlineLevel="1"/>
    <col min="7" max="10" width="10.28515625" style="190" hidden="1" customWidth="1" outlineLevel="1"/>
    <col min="11" max="11" width="11.42578125" style="190" bestFit="1" customWidth="1" collapsed="1"/>
    <col min="12" max="16" width="10.28515625" style="190" bestFit="1" customWidth="1"/>
    <col min="17" max="23" width="10.140625" style="190" customWidth="1"/>
    <col min="24" max="24" width="9.140625" style="190" bestFit="1" customWidth="1"/>
    <col min="25" max="26" width="9" style="190" hidden="1" customWidth="1" outlineLevel="1"/>
    <col min="27" max="27" width="9" style="190" bestFit="1" customWidth="1" collapsed="1"/>
    <col min="28" max="31" width="10.28515625" style="190" bestFit="1" customWidth="1"/>
    <col min="32" max="32" width="10.28515625" style="190" customWidth="1"/>
    <col min="33" max="16384" width="9.140625" style="113"/>
  </cols>
  <sheetData>
    <row r="1" spans="1:39" x14ac:dyDescent="0.25">
      <c r="A1" s="112" t="s">
        <v>0</v>
      </c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</row>
    <row r="2" spans="1:39" s="214" customFormat="1" x14ac:dyDescent="0.25">
      <c r="B2" s="508"/>
      <c r="C2" s="508"/>
      <c r="D2" s="508"/>
      <c r="E2" s="508"/>
      <c r="F2" s="508"/>
      <c r="G2" s="292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</row>
    <row r="3" spans="1:39" s="100" customFormat="1" x14ac:dyDescent="0.25">
      <c r="B3" s="509" t="s">
        <v>162</v>
      </c>
      <c r="C3" s="86" t="s">
        <v>178</v>
      </c>
      <c r="D3" s="86" t="s">
        <v>179</v>
      </c>
      <c r="E3" s="86" t="s">
        <v>180</v>
      </c>
      <c r="F3" s="86" t="s">
        <v>181</v>
      </c>
      <c r="G3" s="86" t="s">
        <v>108</v>
      </c>
      <c r="H3" s="86" t="s">
        <v>107</v>
      </c>
      <c r="I3" s="86" t="s">
        <v>106</v>
      </c>
      <c r="J3" s="86" t="s">
        <v>105</v>
      </c>
      <c r="K3" s="102" t="s">
        <v>1</v>
      </c>
      <c r="L3" s="86" t="s">
        <v>2</v>
      </c>
      <c r="M3" s="86" t="s">
        <v>3</v>
      </c>
      <c r="N3" s="101" t="s">
        <v>96</v>
      </c>
      <c r="O3" s="86" t="s">
        <v>97</v>
      </c>
      <c r="P3" s="86" t="s">
        <v>131</v>
      </c>
      <c r="Q3" s="86" t="s">
        <v>174</v>
      </c>
      <c r="R3" s="86" t="s">
        <v>238</v>
      </c>
      <c r="S3" s="102" t="s">
        <v>251</v>
      </c>
      <c r="T3" s="86" t="s">
        <v>271</v>
      </c>
      <c r="U3" s="86" t="str">
        <f>+'Credit Quality'!U3</f>
        <v>Q3FY26</v>
      </c>
      <c r="V3" s="101" t="str">
        <f>+'Credit Quality'!V3</f>
        <v>Q4FY26</v>
      </c>
      <c r="W3" s="1089" t="str">
        <f>+'Credit Quality'!W3</f>
        <v>Q1FY27</v>
      </c>
      <c r="X3" s="190"/>
      <c r="Y3" s="102" t="s">
        <v>6</v>
      </c>
      <c r="Z3" s="86" t="s">
        <v>7</v>
      </c>
      <c r="AA3" s="102" t="s">
        <v>8</v>
      </c>
      <c r="AB3" s="86" t="s">
        <v>9</v>
      </c>
      <c r="AC3" s="86" t="s">
        <v>10</v>
      </c>
      <c r="AD3" s="86" t="s">
        <v>98</v>
      </c>
      <c r="AE3" s="86" t="s">
        <v>239</v>
      </c>
      <c r="AF3" s="101" t="s">
        <v>282</v>
      </c>
    </row>
    <row r="4" spans="1:39" x14ac:dyDescent="0.25">
      <c r="B4" s="510" t="s">
        <v>117</v>
      </c>
      <c r="C4" s="511"/>
      <c r="D4" s="511"/>
      <c r="E4" s="511"/>
      <c r="F4" s="511"/>
      <c r="G4" s="191"/>
      <c r="H4" s="191"/>
      <c r="I4" s="191"/>
      <c r="J4" s="191"/>
      <c r="K4" s="193"/>
      <c r="L4" s="191"/>
      <c r="M4" s="191"/>
      <c r="N4" s="192"/>
      <c r="O4" s="191"/>
      <c r="P4" s="191"/>
      <c r="Q4" s="191"/>
      <c r="R4" s="191"/>
      <c r="S4" s="193"/>
      <c r="T4" s="191"/>
      <c r="U4" s="191"/>
      <c r="V4" s="192"/>
      <c r="W4" s="192"/>
      <c r="Y4" s="193"/>
      <c r="Z4" s="191"/>
      <c r="AA4" s="193"/>
      <c r="AB4" s="191"/>
      <c r="AC4" s="191"/>
      <c r="AD4" s="191"/>
      <c r="AE4" s="191"/>
      <c r="AF4" s="192"/>
    </row>
    <row r="5" spans="1:39" x14ac:dyDescent="0.25">
      <c r="B5" s="512" t="s">
        <v>68</v>
      </c>
      <c r="C5" s="345">
        <v>0.12989999999999999</v>
      </c>
      <c r="D5" s="345">
        <v>0.129</v>
      </c>
      <c r="E5" s="345">
        <v>0.12790000000000001</v>
      </c>
      <c r="F5" s="345">
        <v>0.1265</v>
      </c>
      <c r="G5" s="230">
        <v>0.12670000000000001</v>
      </c>
      <c r="H5" s="230">
        <v>0.1285</v>
      </c>
      <c r="I5" s="230">
        <v>0.13039999999999999</v>
      </c>
      <c r="J5" s="230">
        <v>0.13120000000000001</v>
      </c>
      <c r="K5" s="382">
        <v>0.1326</v>
      </c>
      <c r="L5" s="230">
        <v>0.13150000000000001</v>
      </c>
      <c r="M5" s="230">
        <v>0.13070000000000001</v>
      </c>
      <c r="N5" s="231">
        <v>0.1313</v>
      </c>
      <c r="O5" s="230">
        <v>0.1308</v>
      </c>
      <c r="P5" s="230">
        <v>0.13044769587197316</v>
      </c>
      <c r="Q5" s="230">
        <v>0.1318</v>
      </c>
      <c r="R5" s="230">
        <v>0.1313</v>
      </c>
      <c r="S5" s="382">
        <v>0.1313</v>
      </c>
      <c r="T5" s="230">
        <v>0.13075999999999999</v>
      </c>
      <c r="U5" s="230">
        <v>0.130192185703534</v>
      </c>
      <c r="V5" s="231">
        <v>0.12823999999999999</v>
      </c>
      <c r="W5" s="231">
        <v>0.127</v>
      </c>
      <c r="X5" s="451"/>
      <c r="Y5" s="196">
        <v>0.13750000000000001</v>
      </c>
      <c r="Z5" s="194">
        <v>0.1363</v>
      </c>
      <c r="AA5" s="196">
        <v>0.13159999999999999</v>
      </c>
      <c r="AB5" s="194">
        <v>0.1265</v>
      </c>
      <c r="AC5" s="194">
        <v>0.13120000000000001</v>
      </c>
      <c r="AD5" s="194">
        <v>0.1313</v>
      </c>
      <c r="AE5" s="194">
        <v>0.1313</v>
      </c>
      <c r="AF5" s="195">
        <v>0.12820000000000001</v>
      </c>
    </row>
    <row r="6" spans="1:39" x14ac:dyDescent="0.25">
      <c r="B6" s="512" t="s">
        <v>69</v>
      </c>
      <c r="C6" s="345">
        <v>7.2499999999999995E-2</v>
      </c>
      <c r="D6" s="345">
        <v>7.17E-2</v>
      </c>
      <c r="E6" s="345">
        <v>7.0300000000000001E-2</v>
      </c>
      <c r="F6" s="345">
        <v>6.88E-2</v>
      </c>
      <c r="G6" s="230">
        <v>6.8599999999999994E-2</v>
      </c>
      <c r="H6" s="230">
        <v>6.9900000000000004E-2</v>
      </c>
      <c r="I6" s="230">
        <v>7.2900000000000006E-2</v>
      </c>
      <c r="J6" s="230">
        <v>7.6100000000000001E-2</v>
      </c>
      <c r="K6" s="382">
        <v>7.6600000000000001E-2</v>
      </c>
      <c r="L6" s="230">
        <v>7.8600000000000003E-2</v>
      </c>
      <c r="M6" s="230">
        <v>7.9500000000000001E-2</v>
      </c>
      <c r="N6" s="231">
        <v>8.0699999999999994E-2</v>
      </c>
      <c r="O6" s="230">
        <v>8.0799999999999997E-2</v>
      </c>
      <c r="P6" s="230">
        <v>8.1500000000000003E-2</v>
      </c>
      <c r="Q6" s="230">
        <v>8.2400000000000001E-2</v>
      </c>
      <c r="R6" s="230">
        <v>8.2400000000000001E-2</v>
      </c>
      <c r="S6" s="382">
        <v>8.0199999999999994E-2</v>
      </c>
      <c r="T6" s="230">
        <v>7.8476794815615203E-2</v>
      </c>
      <c r="U6" s="230">
        <v>7.68282282597023E-2</v>
      </c>
      <c r="V6" s="231">
        <v>7.6200000000000004E-2</v>
      </c>
      <c r="W6" s="231">
        <v>7.6399999999999996E-2</v>
      </c>
      <c r="X6" s="295"/>
      <c r="Y6" s="196">
        <v>8.7400000000000005E-2</v>
      </c>
      <c r="Z6" s="194">
        <v>8.4400000000000003E-2</v>
      </c>
      <c r="AA6" s="196">
        <v>7.3999999999999996E-2</v>
      </c>
      <c r="AB6" s="194">
        <v>6.88E-2</v>
      </c>
      <c r="AC6" s="194">
        <v>7.6100000000000001E-2</v>
      </c>
      <c r="AD6" s="194">
        <v>8.0699999999999994E-2</v>
      </c>
      <c r="AE6" s="194">
        <v>8.2400000000000001E-2</v>
      </c>
      <c r="AF6" s="195">
        <v>7.6200000000000004E-2</v>
      </c>
      <c r="AG6" s="593"/>
    </row>
    <row r="7" spans="1:39" s="171" customFormat="1" x14ac:dyDescent="0.25">
      <c r="B7" s="510" t="s">
        <v>70</v>
      </c>
      <c r="C7" s="293">
        <v>5.7399999999999993E-2</v>
      </c>
      <c r="D7" s="293">
        <v>5.7300000000000004E-2</v>
      </c>
      <c r="E7" s="293">
        <v>5.7600000000000012E-2</v>
      </c>
      <c r="F7" s="293">
        <v>5.7700000000000001E-2</v>
      </c>
      <c r="G7" s="232">
        <v>5.8100000000000013E-2</v>
      </c>
      <c r="H7" s="232">
        <v>5.8599999999999999E-2</v>
      </c>
      <c r="I7" s="232">
        <v>5.7499999999999982E-2</v>
      </c>
      <c r="J7" s="232">
        <v>5.510000000000001E-2</v>
      </c>
      <c r="K7" s="386">
        <v>5.5999999999999994E-2</v>
      </c>
      <c r="L7" s="232">
        <v>5.2900000000000003E-2</v>
      </c>
      <c r="M7" s="232">
        <v>5.1200000000000009E-2</v>
      </c>
      <c r="N7" s="233">
        <v>5.0600000000000006E-2</v>
      </c>
      <c r="O7" s="232">
        <v>0.05</v>
      </c>
      <c r="P7" s="232">
        <v>4.894769587197316E-2</v>
      </c>
      <c r="Q7" s="232">
        <v>4.9399999999999999E-2</v>
      </c>
      <c r="R7" s="232">
        <v>4.8899999999999999E-2</v>
      </c>
      <c r="S7" s="386">
        <v>5.1100000000000007E-2</v>
      </c>
      <c r="T7" s="232">
        <f>+T5-T6</f>
        <v>5.2283205184384784E-2</v>
      </c>
      <c r="U7" s="232">
        <f>+U5-U6</f>
        <v>5.3363957443831697E-2</v>
      </c>
      <c r="V7" s="233">
        <f>+V5-V6</f>
        <v>5.2039999999999989E-2</v>
      </c>
      <c r="W7" s="233">
        <f>+W5-W6</f>
        <v>5.0600000000000006E-2</v>
      </c>
      <c r="X7" s="295"/>
      <c r="Y7" s="323">
        <v>5.0100000000000006E-2</v>
      </c>
      <c r="Z7" s="197">
        <v>5.1900000000000002E-2</v>
      </c>
      <c r="AA7" s="568">
        <v>5.7599999999999998E-2</v>
      </c>
      <c r="AB7" s="197">
        <v>5.7700000000000001E-2</v>
      </c>
      <c r="AC7" s="197">
        <v>5.510000000000001E-2</v>
      </c>
      <c r="AD7" s="197">
        <v>5.0600000000000006E-2</v>
      </c>
      <c r="AE7" s="232">
        <v>4.8899999999999999E-2</v>
      </c>
      <c r="AF7" s="233">
        <v>5.1999999999999998E-2</v>
      </c>
      <c r="AG7" s="593"/>
      <c r="AI7" s="214"/>
    </row>
    <row r="8" spans="1:39" x14ac:dyDescent="0.25">
      <c r="B8" s="513"/>
      <c r="C8" s="514"/>
      <c r="D8" s="514"/>
      <c r="E8" s="514"/>
      <c r="F8" s="514"/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50"/>
      <c r="Y8" s="198"/>
      <c r="Z8" s="198"/>
      <c r="AA8" s="198"/>
      <c r="AB8" s="198"/>
      <c r="AC8" s="198"/>
      <c r="AD8" s="198"/>
      <c r="AE8" s="198"/>
      <c r="AF8" s="198"/>
    </row>
    <row r="9" spans="1:39" x14ac:dyDescent="0.25">
      <c r="B9" s="510" t="s">
        <v>71</v>
      </c>
      <c r="C9" s="511"/>
      <c r="D9" s="511"/>
      <c r="E9" s="511"/>
      <c r="F9" s="511"/>
      <c r="G9" s="356"/>
      <c r="H9" s="191"/>
      <c r="I9" s="191"/>
      <c r="J9" s="191"/>
      <c r="K9" s="191"/>
      <c r="L9" s="191"/>
      <c r="M9" s="191"/>
      <c r="N9" s="191"/>
      <c r="O9" s="191"/>
      <c r="P9" s="191"/>
      <c r="Q9" s="364"/>
      <c r="R9" s="364"/>
      <c r="S9" s="364"/>
      <c r="T9" s="364"/>
      <c r="U9" s="364"/>
      <c r="V9" s="422"/>
      <c r="W9" s="422"/>
      <c r="Y9" s="193"/>
      <c r="Z9" s="191"/>
      <c r="AA9" s="193"/>
      <c r="AB9" s="191"/>
      <c r="AC9" s="191"/>
      <c r="AD9" s="191"/>
      <c r="AE9" s="191"/>
      <c r="AF9" s="192"/>
    </row>
    <row r="10" spans="1:39" x14ac:dyDescent="0.25">
      <c r="B10" s="512" t="s">
        <v>123</v>
      </c>
      <c r="C10" s="345">
        <v>0.12391724813048748</v>
      </c>
      <c r="D10" s="345">
        <v>0.12553304538055504</v>
      </c>
      <c r="E10" s="345">
        <v>0.12207677783613809</v>
      </c>
      <c r="F10" s="345">
        <v>0.12357142318523344</v>
      </c>
      <c r="G10" s="230">
        <v>0.12065137443262741</v>
      </c>
      <c r="H10" s="230">
        <v>0.12161923298513456</v>
      </c>
      <c r="I10" s="230">
        <v>0.1266658850490619</v>
      </c>
      <c r="J10" s="230">
        <v>0.12832909023274996</v>
      </c>
      <c r="K10" s="391">
        <f>(+'P&amp;L'!K6/'Yields, Margins &amp; Ratios'!K27)*4</f>
        <v>0.11879047275878375</v>
      </c>
      <c r="L10" s="365">
        <f>(+'P&amp;L'!L6/'Yields, Margins &amp; Ratios'!L27)*4</f>
        <v>0.11475067846708609</v>
      </c>
      <c r="M10" s="365">
        <f>(+'P&amp;L'!M6/'Yields, Margins &amp; Ratios'!M27)*4</f>
        <v>0.11418846538468105</v>
      </c>
      <c r="N10" s="490">
        <f>(+'P&amp;L'!N6/'Yields, Margins &amp; Ratios'!N27)*4</f>
        <v>0.11506623211610253</v>
      </c>
      <c r="O10" s="230">
        <f>(+'P&amp;L'!O6/'Yields, Margins &amp; Ratios'!O27)*4</f>
        <v>0.1153852098270326</v>
      </c>
      <c r="P10" s="230">
        <f>(+'P&amp;L'!P6/'Yields, Margins &amp; Ratios'!P27)*4</f>
        <v>0.11735771392520686</v>
      </c>
      <c r="Q10" s="230">
        <f>(+'P&amp;L'!Q6/'Yields, Margins &amp; Ratios'!Q27)*4</f>
        <v>0.11935044716500678</v>
      </c>
      <c r="R10" s="230">
        <f>(+'P&amp;L'!R6/'Yields, Margins &amp; Ratios'!R27)*4</f>
        <v>0.11874690651523405</v>
      </c>
      <c r="S10" s="391">
        <f>(+'P&amp;L'!S6/'Yields, Margins &amp; Ratios'!S27)*4</f>
        <v>0.11819983708870029</v>
      </c>
      <c r="T10" s="365">
        <f>(+'P&amp;L'!T6/'Yields, Margins &amp; Ratios'!T27)*4</f>
        <v>0.1192937407503904</v>
      </c>
      <c r="U10" s="365">
        <f>(+'P&amp;L'!U6/'Yields, Margins &amp; Ratios'!U27)*4</f>
        <v>0.11915050872467957</v>
      </c>
      <c r="V10" s="490">
        <f>(+'P&amp;L'!V6/'Yields, Margins &amp; Ratios'!V27)*4</f>
        <v>0.11798184032181734</v>
      </c>
      <c r="W10" s="490">
        <f>(+'P&amp;L'!W6/'Yields, Margins &amp; Ratios'!W27)*4</f>
        <v>0.11786984936511868</v>
      </c>
      <c r="X10" s="201"/>
      <c r="Y10" s="378">
        <f>(+'P&amp;L'!AA6/Y27)</f>
        <v>0.12279971539528825</v>
      </c>
      <c r="Z10" s="230">
        <f>(+'P&amp;L'!AB6/Z27)</f>
        <v>0.1184033039660935</v>
      </c>
      <c r="AA10" s="382">
        <f>(+'P&amp;L'!AC6/AA27)</f>
        <v>0.11638650349843122</v>
      </c>
      <c r="AB10" s="230">
        <f>(+'P&amp;L'!AD6/AB27)</f>
        <v>0.11461444587724987</v>
      </c>
      <c r="AC10" s="230">
        <f>(+'P&amp;L'!AE6/AC27)</f>
        <v>0.1152671496770829</v>
      </c>
      <c r="AD10" s="230">
        <f>(+'P&amp;L'!AF6/AD27)</f>
        <v>0.11561386536710511</v>
      </c>
      <c r="AE10" s="230">
        <f>(+'P&amp;L'!AG6/AE27)</f>
        <v>0.11617268697682968</v>
      </c>
      <c r="AF10" s="231">
        <f>(+'P&amp;L'!AH6/AF27)</f>
        <v>0.11754348905080976</v>
      </c>
    </row>
    <row r="11" spans="1:39" x14ac:dyDescent="0.25">
      <c r="B11" s="512" t="s">
        <v>124</v>
      </c>
      <c r="C11" s="345">
        <v>5.0608435584428332E-2</v>
      </c>
      <c r="D11" s="345">
        <v>4.9685058250755532E-2</v>
      </c>
      <c r="E11" s="345">
        <v>5.0900459416363307E-2</v>
      </c>
      <c r="F11" s="345">
        <v>4.6903108019242794E-2</v>
      </c>
      <c r="G11" s="230">
        <v>4.8665514841296519E-2</v>
      </c>
      <c r="H11" s="230">
        <v>4.9018485568126539E-2</v>
      </c>
      <c r="I11" s="230">
        <v>4.9548631937721542E-2</v>
      </c>
      <c r="J11" s="230">
        <v>5.1235577932704231E-2</v>
      </c>
      <c r="K11" s="382">
        <f>(+'P&amp;L'!K7/'Yields, Margins &amp; Ratios'!K27)*4</f>
        <v>5.4311704939895677E-2</v>
      </c>
      <c r="L11" s="230">
        <f>(+'P&amp;L'!L7/'Yields, Margins &amp; Ratios'!L27)*4</f>
        <v>5.5984422198638716E-2</v>
      </c>
      <c r="M11" s="230">
        <f>(+'P&amp;L'!M7/'Yields, Margins &amp; Ratios'!M27)*4</f>
        <v>5.7277622280014491E-2</v>
      </c>
      <c r="N11" s="231">
        <f>(+'P&amp;L'!N7/'Yields, Margins &amp; Ratios'!N27)*4</f>
        <v>5.5752418379368639E-2</v>
      </c>
      <c r="O11" s="230">
        <f>(+'P&amp;L'!O7/'Yields, Margins &amp; Ratios'!O27)*4</f>
        <v>5.6385459874105592E-2</v>
      </c>
      <c r="P11" s="230">
        <f>(+'P&amp;L'!P7/'Yields, Margins &amp; Ratios'!P27)*4</f>
        <v>5.9279689979953032E-2</v>
      </c>
      <c r="Q11" s="230">
        <f>(+'P&amp;L'!Q7/'Yields, Margins &amp; Ratios'!Q27)*4</f>
        <v>6.0098617840535849E-2</v>
      </c>
      <c r="R11" s="230">
        <f>(+'P&amp;L'!R7/'Yields, Margins &amp; Ratios'!R27)*4</f>
        <v>5.857731765779841E-2</v>
      </c>
      <c r="S11" s="382">
        <f>(+'P&amp;L'!S7/'Yields, Margins &amp; Ratios'!S27)*4</f>
        <v>5.7765135026053321E-2</v>
      </c>
      <c r="T11" s="230">
        <f>(+'P&amp;L'!T7/'Yields, Margins &amp; Ratios'!T27)*4</f>
        <v>5.7543829513726295E-2</v>
      </c>
      <c r="U11" s="230">
        <f>(+'P&amp;L'!U7/'Yields, Margins &amp; Ratios'!U27)*4</f>
        <v>5.5728627448443466E-2</v>
      </c>
      <c r="V11" s="231">
        <f>(+'P&amp;L'!V7/'Yields, Margins &amp; Ratios'!V27)*4</f>
        <v>5.325924388461574E-2</v>
      </c>
      <c r="W11" s="231">
        <f>(+'P&amp;L'!W7/'Yields, Margins &amp; Ratios'!W27)*4</f>
        <v>5.4925391978879877E-2</v>
      </c>
      <c r="X11" s="201"/>
      <c r="Y11" s="378">
        <f>(+'P&amp;L'!AA7/'Yields, Margins &amp; Ratios'!Y27)</f>
        <v>5.3851442386101928E-2</v>
      </c>
      <c r="Z11" s="230">
        <f>(+'P&amp;L'!AB7/'Yields, Margins &amp; Ratios'!Z27)</f>
        <v>5.4347618272809421E-2</v>
      </c>
      <c r="AA11" s="382">
        <f>(+'P&amp;L'!AC7/'Yields, Margins &amp; Ratios'!AA27)</f>
        <v>5.5897671634782806E-2</v>
      </c>
      <c r="AB11" s="230">
        <f>(+'P&amp;L'!AD7/'Yields, Margins &amp; Ratios'!AB27)</f>
        <v>4.8368895383064207E-2</v>
      </c>
      <c r="AC11" s="230">
        <f>(+'P&amp;L'!AE7/'Yields, Margins &amp; Ratios'!AC27)</f>
        <v>4.8967962989779866E-2</v>
      </c>
      <c r="AD11" s="230">
        <f>(+'P&amp;L'!AF7/'Yields, Margins &amp; Ratios'!AD27)</f>
        <v>5.5855691819605591E-2</v>
      </c>
      <c r="AE11" s="230">
        <f>(+'P&amp;L'!AG7/'Yields, Margins &amp; Ratios'!AE27)</f>
        <v>5.7817458408326271E-2</v>
      </c>
      <c r="AF11" s="231">
        <f>(+'P&amp;L'!AH7/'Yields, Margins &amp; Ratios'!AF27)</f>
        <v>5.5491006837184352E-2</v>
      </c>
      <c r="AH11" s="214"/>
      <c r="AI11" s="214"/>
      <c r="AJ11" s="214"/>
      <c r="AK11" s="214"/>
      <c r="AL11" s="214"/>
      <c r="AM11" s="214"/>
    </row>
    <row r="12" spans="1:39" x14ac:dyDescent="0.25">
      <c r="B12" s="512" t="s">
        <v>169</v>
      </c>
      <c r="C12" s="345">
        <v>-3.9818260288175299E-3</v>
      </c>
      <c r="D12" s="345">
        <v>1.1982250242038781E-2</v>
      </c>
      <c r="E12" s="345">
        <v>1.5682485425401411E-2</v>
      </c>
      <c r="F12" s="345">
        <v>1.4387643340492647E-2</v>
      </c>
      <c r="G12" s="230">
        <v>4.7033330076997554E-3</v>
      </c>
      <c r="H12" s="230">
        <v>1.3521585408454584E-2</v>
      </c>
      <c r="I12" s="230">
        <v>8.0858698443175663E-3</v>
      </c>
      <c r="J12" s="230">
        <v>1.0303294375220359E-2</v>
      </c>
      <c r="K12" s="382">
        <f>(+'P&amp;L'!K9/'Yields, Margins &amp; Ratios'!K27)*4</f>
        <v>1.5509442147811876E-2</v>
      </c>
      <c r="L12" s="230">
        <f>(+'P&amp;L'!L9/'Yields, Margins &amp; Ratios'!L27)*4</f>
        <v>2.0438894441017961E-2</v>
      </c>
      <c r="M12" s="230">
        <f>(+'P&amp;L'!M9/'Yields, Margins &amp; Ratios'!M27)*4</f>
        <v>1.9426858455262E-2</v>
      </c>
      <c r="N12" s="231">
        <f>(+'P&amp;L'!N9/'Yields, Margins &amp; Ratios'!N27)*4</f>
        <v>2.1766184428923786E-2</v>
      </c>
      <c r="O12" s="230">
        <f>(+'P&amp;L'!O9/'Yields, Margins &amp; Ratios'!O27)*4</f>
        <v>1.4134280180922661E-2</v>
      </c>
      <c r="P12" s="230">
        <f>(+'P&amp;L'!P9/'Yields, Margins &amp; Ratios'!P27)*4</f>
        <v>1.9713563475445561E-2</v>
      </c>
      <c r="Q12" s="230">
        <f>(+'P&amp;L'!Q9/'Yields, Margins &amp; Ratios'!Q27)*4</f>
        <v>1.8199977048858278E-2</v>
      </c>
      <c r="R12" s="230">
        <f>(+'P&amp;L'!R9/'Yields, Margins &amp; Ratios'!R27)*4</f>
        <v>2.0943894603977182E-2</v>
      </c>
      <c r="S12" s="382">
        <f>(+'P&amp;L'!S9/'Yields, Margins &amp; Ratios'!S27)*4</f>
        <v>1.4376706637947243E-2</v>
      </c>
      <c r="T12" s="230">
        <f>(+'P&amp;L'!T9/'Yields, Margins &amp; Ratios'!T27)*4</f>
        <v>1.8631789072090281E-2</v>
      </c>
      <c r="U12" s="230">
        <f>(+'P&amp;L'!U9/'Yields, Margins &amp; Ratios'!U27)*4</f>
        <v>1.6686995966932659E-2</v>
      </c>
      <c r="V12" s="231">
        <f>(+'P&amp;L'!V9/'Yields, Margins &amp; Ratios'!V27)*4</f>
        <v>1.9809727878441916E-2</v>
      </c>
      <c r="W12" s="231">
        <f>(+'P&amp;L'!W9/'Yields, Margins &amp; Ratios'!W27)*4</f>
        <v>1.4062617807214033E-2</v>
      </c>
      <c r="X12" s="201"/>
      <c r="Y12" s="378">
        <f>(+'P&amp;L'!AA9/'Yields, Margins &amp; Ratios'!Y27)</f>
        <v>2.4294042664003371E-2</v>
      </c>
      <c r="Z12" s="230">
        <f>(+'P&amp;L'!AB9/'Yields, Margins &amp; Ratios'!Z27)</f>
        <v>1.7565559195133251E-2</v>
      </c>
      <c r="AA12" s="382">
        <f>(+'P&amp;L'!AC9/'Yields, Margins &amp; Ratios'!AA27)</f>
        <v>1.6649699346511938E-2</v>
      </c>
      <c r="AB12" s="230">
        <f>(+'P&amp;L'!AD9/'Yields, Margins &amp; Ratios'!AB27)</f>
        <v>1.6069225639253469E-2</v>
      </c>
      <c r="AC12" s="230">
        <f>(+'P&amp;L'!AE9/'Yields, Margins &amp; Ratios'!AC27)</f>
        <v>1.6544998219716871E-2</v>
      </c>
      <c r="AD12" s="230">
        <f>(+'P&amp;L'!AF9/'Yields, Margins &amp; Ratios'!AD27)</f>
        <v>1.9386971111017004E-2</v>
      </c>
      <c r="AE12" s="230">
        <f>(+'P&amp;L'!AG9/'Yields, Margins &amp; Ratios'!AE27)</f>
        <v>1.8064887211924729E-2</v>
      </c>
      <c r="AF12" s="231">
        <f>(+'P&amp;L'!AH9/'Yields, Margins &amp; Ratios'!AF27)</f>
        <v>1.7267914885604432E-2</v>
      </c>
    </row>
    <row r="13" spans="1:39" s="171" customFormat="1" x14ac:dyDescent="0.25">
      <c r="B13" s="515" t="s">
        <v>170</v>
      </c>
      <c r="C13" s="293">
        <v>6.9326986517241618E-2</v>
      </c>
      <c r="D13" s="293">
        <v>8.7830237371838288E-2</v>
      </c>
      <c r="E13" s="293">
        <v>8.6858803845176191E-2</v>
      </c>
      <c r="F13" s="293">
        <v>9.1055958506483292E-2</v>
      </c>
      <c r="G13" s="379">
        <v>7.6689192599030648E-2</v>
      </c>
      <c r="H13" s="379">
        <v>8.6122332825462611E-2</v>
      </c>
      <c r="I13" s="379">
        <v>8.520312295565792E-2</v>
      </c>
      <c r="J13" s="379">
        <v>8.73968066752661E-2</v>
      </c>
      <c r="K13" s="381">
        <f>(+'P&amp;L'!K15/'Yields, Margins &amp; Ratios'!K27)*4</f>
        <v>7.9988209966699961E-2</v>
      </c>
      <c r="L13" s="379">
        <f>(+'P&amp;L'!L15/'Yields, Margins &amp; Ratios'!L27)*4</f>
        <v>7.9205150709465336E-2</v>
      </c>
      <c r="M13" s="379">
        <f>(+'P&amp;L'!M15/'Yields, Margins &amp; Ratios'!M27)*4</f>
        <v>7.633770155992857E-2</v>
      </c>
      <c r="N13" s="380">
        <f>(+'P&amp;L'!N15/'Yields, Margins &amp; Ratios'!N27)*4</f>
        <v>8.1079998165657682E-2</v>
      </c>
      <c r="O13" s="379">
        <f>(+'P&amp;L'!O15/'Yields, Margins &amp; Ratios'!O27)*4</f>
        <v>7.313403013384967E-2</v>
      </c>
      <c r="P13" s="379">
        <f>(+'P&amp;L'!P15/'Yields, Margins &amp; Ratios'!P27)*4</f>
        <v>7.7791587420699387E-2</v>
      </c>
      <c r="Q13" s="379">
        <f>(+'P&amp;L'!Q15/'Yields, Margins &amp; Ratios'!Q27)*4</f>
        <v>7.7451806373329227E-2</v>
      </c>
      <c r="R13" s="379">
        <f>(+'P&amp;L'!R15/'Yields, Margins &amp; Ratios'!R27)*4</f>
        <v>8.1113483461412825E-2</v>
      </c>
      <c r="S13" s="381">
        <f>(+'P&amp;L'!S15/'Yields, Margins &amp; Ratios'!S27)*4</f>
        <v>7.4811408700594204E-2</v>
      </c>
      <c r="T13" s="379">
        <f>(+'P&amp;L'!T15/'Yields, Margins &amp; Ratios'!T27)*4</f>
        <v>8.0381700308754384E-2</v>
      </c>
      <c r="U13" s="379">
        <f>(+'P&amp;L'!U15/'Yields, Margins &amp; Ratios'!U27)*4</f>
        <v>8.0108877243168758E-2</v>
      </c>
      <c r="V13" s="380">
        <f>(+'P&amp;L'!V15/'Yields, Margins &amp; Ratios'!V27)*4</f>
        <v>8.4532324315643517E-2</v>
      </c>
      <c r="W13" s="380">
        <f>(+'P&amp;L'!W15/'Yields, Margins &amp; Ratios'!W27)*4</f>
        <v>7.7007075193452845E-2</v>
      </c>
      <c r="X13" s="295"/>
      <c r="Y13" s="381">
        <f>(+'P&amp;L'!AA15/'Yields, Margins &amp; Ratios'!Y27)</f>
        <v>9.3242315673189691E-2</v>
      </c>
      <c r="Z13" s="379">
        <f>(+'P&amp;L'!AB15/'Yields, Margins &amp; Ratios'!Z27)</f>
        <v>8.1621244888417335E-2</v>
      </c>
      <c r="AA13" s="381">
        <f>(+'P&amp;L'!AC15/'Yields, Margins &amp; Ratios'!AA27)</f>
        <v>7.7138531210160358E-2</v>
      </c>
      <c r="AB13" s="379">
        <f>(+'P&amp;L'!AD15/'Yields, Margins &amp; Ratios'!AB27)</f>
        <v>8.2314776133439127E-2</v>
      </c>
      <c r="AC13" s="379">
        <f>(+'P&amp;L'!AE15/'Yields, Margins &amp; Ratios'!AC27)</f>
        <v>8.2844184907019919E-2</v>
      </c>
      <c r="AD13" s="379">
        <f>(+'P&amp;L'!AF15/'Yields, Margins &amp; Ratios'!AD27)</f>
        <v>7.9145144658516534E-2</v>
      </c>
      <c r="AE13" s="379">
        <f>(+'P&amp;L'!AG15/'Yields, Margins &amp; Ratios'!AE27)</f>
        <v>7.6420115780428149E-2</v>
      </c>
      <c r="AF13" s="380">
        <f>(+'P&amp;L'!AH15/'Yields, Margins &amp; Ratios'!AF27)</f>
        <v>7.9320397099229834E-2</v>
      </c>
      <c r="AG13" s="593"/>
      <c r="AH13" s="458"/>
      <c r="AI13" s="214"/>
    </row>
    <row r="14" spans="1:39" x14ac:dyDescent="0.25">
      <c r="B14" s="512" t="s">
        <v>72</v>
      </c>
      <c r="C14" s="345">
        <v>2.8790887419887334E-2</v>
      </c>
      <c r="D14" s="345">
        <v>3.5828385335325848E-2</v>
      </c>
      <c r="E14" s="345">
        <v>3.5908852969176321E-2</v>
      </c>
      <c r="F14" s="345">
        <v>3.9817807986276349E-2</v>
      </c>
      <c r="G14" s="230">
        <v>3.5630522170704865E-2</v>
      </c>
      <c r="H14" s="230">
        <v>3.8437707583107293E-2</v>
      </c>
      <c r="I14" s="230">
        <v>3.892586222150346E-2</v>
      </c>
      <c r="J14" s="230">
        <v>3.6608190866435873E-2</v>
      </c>
      <c r="K14" s="382">
        <f>(+'P&amp;L'!K18/'Yields, Margins &amp; Ratios'!K27)*4</f>
        <v>3.7886694762126492E-2</v>
      </c>
      <c r="L14" s="230">
        <f>(+'P&amp;L'!L18/'Yields, Margins &amp; Ratios'!L27)*4</f>
        <v>3.4874658220331527E-2</v>
      </c>
      <c r="M14" s="230">
        <f>(+'P&amp;L'!M18/'Yields, Margins &amp; Ratios'!M27)*4</f>
        <v>3.4955598579221182E-2</v>
      </c>
      <c r="N14" s="231">
        <f>(+'P&amp;L'!N18/'Yields, Margins &amp; Ratios'!N27)*4</f>
        <v>3.5583751107364926E-2</v>
      </c>
      <c r="O14" s="230">
        <f>(+'P&amp;L'!O18/'Yields, Margins &amp; Ratios'!O27)*4</f>
        <v>3.266326874222944E-2</v>
      </c>
      <c r="P14" s="230">
        <f>(+'P&amp;L'!P18/'Yields, Margins &amp; Ratios'!P27)*4</f>
        <v>3.177903313829223E-2</v>
      </c>
      <c r="Q14" s="230">
        <f>(+'P&amp;L'!Q18/'Yields, Margins &amp; Ratios'!Q27)*4</f>
        <v>3.2714294506944894E-2</v>
      </c>
      <c r="R14" s="230">
        <f>(+'P&amp;L'!R18/'Yields, Margins &amp; Ratios'!R27)*4</f>
        <v>3.7098803174460779E-2</v>
      </c>
      <c r="S14" s="382">
        <f>(+'P&amp;L'!S18/'Yields, Margins &amp; Ratios'!S27)*4</f>
        <v>3.4614496720954416E-2</v>
      </c>
      <c r="T14" s="230">
        <f>(+'P&amp;L'!T18/'Yields, Margins &amp; Ratios'!T27)*4</f>
        <v>3.5087541916047203E-2</v>
      </c>
      <c r="U14" s="230">
        <f>(+'P&amp;L'!U18/'Yields, Margins &amp; Ratios'!U27)*4</f>
        <v>3.4366434152513545E-2</v>
      </c>
      <c r="V14" s="231">
        <f>(+'P&amp;L'!V18/'Yields, Margins &amp; Ratios'!V27)*4</f>
        <v>3.8767890874088981E-2</v>
      </c>
      <c r="W14" s="231">
        <f>(+'P&amp;L'!W18/'Yields, Margins &amp; Ratios'!W27)*4</f>
        <v>3.3673921755579372E-2</v>
      </c>
      <c r="X14" s="295"/>
      <c r="Y14" s="382">
        <f>(+'P&amp;L'!AA18/'Yields, Margins &amp; Ratios'!Y27)</f>
        <v>3.8087267389458938E-2</v>
      </c>
      <c r="Z14" s="230">
        <f>(+'P&amp;L'!AB18/'Yields, Margins &amp; Ratios'!Z27)</f>
        <v>3.3836244100375334E-2</v>
      </c>
      <c r="AA14" s="382">
        <f>(+'P&amp;L'!AC18/'Yields, Margins &amp; Ratios'!AA27)</f>
        <v>3.0142494856793128E-2</v>
      </c>
      <c r="AB14" s="230">
        <f>(+'P&amp;L'!AD18/'Yields, Margins &amp; Ratios'!AB27)</f>
        <v>3.4521773805203888E-2</v>
      </c>
      <c r="AC14" s="230">
        <f>(+'P&amp;L'!AE18/'Yields, Margins &amp; Ratios'!AC27)</f>
        <v>3.6884522891153008E-2</v>
      </c>
      <c r="AD14" s="230">
        <f>(+'P&amp;L'!AF18/'Yields, Margins &amp; Ratios'!AD27)</f>
        <v>3.5780192601668419E-2</v>
      </c>
      <c r="AE14" s="230">
        <f>(+'P&amp;L'!AG18/'Yields, Margins &amp; Ratios'!AE27)</f>
        <v>3.3178326125141017E-2</v>
      </c>
      <c r="AF14" s="231">
        <f>(+'P&amp;L'!AH18/'Yields, Margins &amp; Ratios'!AF27)</f>
        <v>3.5426652003503339E-2</v>
      </c>
      <c r="AG14" s="593"/>
      <c r="AH14" s="214"/>
      <c r="AI14" s="214"/>
      <c r="AJ14" s="214"/>
      <c r="AK14" s="214"/>
      <c r="AL14" s="214"/>
      <c r="AM14" s="214"/>
    </row>
    <row r="15" spans="1:39" s="171" customFormat="1" x14ac:dyDescent="0.25">
      <c r="B15" s="516" t="s">
        <v>165</v>
      </c>
      <c r="C15" s="345">
        <v>7.4989685923924415E-3</v>
      </c>
      <c r="D15" s="345">
        <v>2.0055520518415548E-3</v>
      </c>
      <c r="E15" s="345">
        <v>4.5345442176581091E-3</v>
      </c>
      <c r="F15" s="345">
        <v>-3.9408472141191295E-3</v>
      </c>
      <c r="G15" s="383">
        <v>3.2542159674406318E-4</v>
      </c>
      <c r="H15" s="383">
        <v>5.5165323225250286E-4</v>
      </c>
      <c r="I15" s="383">
        <v>1.1485965815828236E-3</v>
      </c>
      <c r="J15" s="383">
        <v>1.9652346428763452E-3</v>
      </c>
      <c r="K15" s="385">
        <f>(+'P&amp;L'!K20/'Yields, Margins &amp; Ratios'!K27)*4</f>
        <v>1.6325302937604006E-3</v>
      </c>
      <c r="L15" s="383">
        <f>(+'P&amp;L'!L20/'Yields, Margins &amp; Ratios'!L27)*4</f>
        <v>1.7711987572870311E-3</v>
      </c>
      <c r="M15" s="383">
        <f>(+'P&amp;L'!M20/'Yields, Margins &amp; Ratios'!M27)*4</f>
        <v>2.0903109285992003E-3</v>
      </c>
      <c r="N15" s="384">
        <f>(+'P&amp;L'!N20/'Yields, Margins &amp; Ratios'!N27)*4</f>
        <v>1.0798977442600132E-3</v>
      </c>
      <c r="O15" s="383">
        <f>(+'P&amp;L'!O20/'Yields, Margins &amp; Ratios'!O27)*4</f>
        <v>2.049038477721009E-3</v>
      </c>
      <c r="P15" s="383">
        <f>(+'P&amp;L'!P20/'Yields, Margins &amp; Ratios'!P27)*4</f>
        <v>1.1401355647453831E-3</v>
      </c>
      <c r="Q15" s="383">
        <f>(+'P&amp;L'!Q20/'Yields, Margins &amp; Ratios'!Q27)*4</f>
        <v>1.3970648634727852E-3</v>
      </c>
      <c r="R15" s="383">
        <f>(+'P&amp;L'!R20/'Yields, Margins &amp; Ratios'!R27)*4</f>
        <v>1.6741084609058537E-3</v>
      </c>
      <c r="S15" s="385">
        <f>(+'P&amp;L'!S20/'Yields, Margins &amp; Ratios'!S27)*4</f>
        <v>2.3773059184800044E-3</v>
      </c>
      <c r="T15" s="383">
        <f>(+'P&amp;L'!T20/'Yields, Margins &amp; Ratios'!T27)*4</f>
        <v>1.6448963322227349E-3</v>
      </c>
      <c r="U15" s="383">
        <f>(+'P&amp;L'!U20/'Yields, Margins &amp; Ratios'!U27)*4</f>
        <v>1.580576686923855E-3</v>
      </c>
      <c r="V15" s="384">
        <f>(+'P&amp;L'!V20/'Yields, Margins &amp; Ratios'!V27)*4</f>
        <v>1.2827884947701404E-3</v>
      </c>
      <c r="W15" s="384">
        <f>(+'P&amp;L'!W20/'Yields, Margins &amp; Ratios'!W27)*4</f>
        <v>2.3811791441777364E-3</v>
      </c>
      <c r="X15" s="295"/>
      <c r="Y15" s="385">
        <f>(+'P&amp;L'!AA20/Y27)</f>
        <v>1.8408488522229029E-3</v>
      </c>
      <c r="Z15" s="383">
        <f>(+'P&amp;L'!AB20/Z27)</f>
        <v>2.3092365688709448E-3</v>
      </c>
      <c r="AA15" s="385">
        <f>(+'P&amp;L'!AC20/AA27)</f>
        <v>4.4699324232809947E-3</v>
      </c>
      <c r="AB15" s="383">
        <f>(+'P&amp;L'!AD20/AB27)</f>
        <v>2.2627339442746457E-3</v>
      </c>
      <c r="AC15" s="383">
        <f>(+'P&amp;L'!AE20/AC27)</f>
        <v>1.0169405683210333E-3</v>
      </c>
      <c r="AD15" s="383">
        <f>(+'P&amp;L'!AF20/AD27)</f>
        <v>1.6351495176649146E-3</v>
      </c>
      <c r="AE15" s="383">
        <f>(+'P&amp;L'!AG20/AE27)</f>
        <v>1.5438764816289043E-3</v>
      </c>
      <c r="AF15" s="384">
        <f>(+'P&amp;L'!AH20/AF27)</f>
        <v>1.6933748238706135E-3</v>
      </c>
      <c r="AH15" s="593"/>
      <c r="AI15" s="593"/>
      <c r="AJ15" s="593"/>
      <c r="AK15" s="593"/>
      <c r="AL15" s="593"/>
      <c r="AM15" s="593"/>
    </row>
    <row r="16" spans="1:39" x14ac:dyDescent="0.25">
      <c r="B16" s="512" t="s">
        <v>73</v>
      </c>
      <c r="C16" s="345">
        <v>3.3037130504961848E-2</v>
      </c>
      <c r="D16" s="345">
        <v>4.9996299984670908E-2</v>
      </c>
      <c r="E16" s="345">
        <v>4.6415406658341762E-2</v>
      </c>
      <c r="F16" s="345">
        <v>5.5178997734326073E-2</v>
      </c>
      <c r="G16" s="230">
        <v>4.0735572348649961E-2</v>
      </c>
      <c r="H16" s="230">
        <v>4.7134022395352637E-2</v>
      </c>
      <c r="I16" s="230">
        <v>4.5129312458447805E-2</v>
      </c>
      <c r="J16" s="230">
        <v>4.8825324444047691E-2</v>
      </c>
      <c r="K16" s="382">
        <f>(+'P&amp;L'!K21/'Yields, Margins &amp; Ratios'!K27)*4</f>
        <v>4.0468984910813063E-2</v>
      </c>
      <c r="L16" s="230">
        <f>(+'P&amp;L'!L21/'Yields, Margins &amp; Ratios'!L27)*4</f>
        <v>4.2559293731846776E-2</v>
      </c>
      <c r="M16" s="230">
        <f>(+'P&amp;L'!M21/'Yields, Margins &amp; Ratios'!M27)*4</f>
        <v>3.9291792052108178E-2</v>
      </c>
      <c r="N16" s="231">
        <f>(+'P&amp;L'!N21/'Yields, Margins &amp; Ratios'!N27)*4</f>
        <v>4.4416349314032752E-2</v>
      </c>
      <c r="O16" s="230">
        <f>(+'P&amp;L'!O21/'Yields, Margins &amp; Ratios'!O27)*4</f>
        <v>3.8421722913899212E-2</v>
      </c>
      <c r="P16" s="230">
        <f>(+'P&amp;L'!P21/'Yields, Margins &amp; Ratios'!P27)*4</f>
        <v>4.4872418717661781E-2</v>
      </c>
      <c r="Q16" s="230">
        <f>(+'P&amp;L'!Q21/'Yields, Margins &amp; Ratios'!Q27)*4</f>
        <v>4.3340447002911543E-2</v>
      </c>
      <c r="R16" s="230">
        <f>(+'P&amp;L'!R21/'Yields, Margins &amp; Ratios'!R27)*4</f>
        <v>4.234057182604619E-2</v>
      </c>
      <c r="S16" s="382">
        <f>(+'P&amp;L'!S21/'Yields, Margins &amp; Ratios'!S27)*4</f>
        <v>3.7819606061159784E-2</v>
      </c>
      <c r="T16" s="230">
        <f>(+'P&amp;L'!T21/'Yields, Margins &amp; Ratios'!T27)*4</f>
        <v>4.3649262060484438E-2</v>
      </c>
      <c r="U16" s="230">
        <f>(+'P&amp;L'!U21/'Yields, Margins &amp; Ratios'!U27)*4</f>
        <v>4.4161866403731355E-2</v>
      </c>
      <c r="V16" s="231">
        <f>(+'P&amp;L'!V21/'Yields, Margins &amp; Ratios'!V27)*4</f>
        <v>4.4481644946784402E-2</v>
      </c>
      <c r="W16" s="231">
        <f>(+'P&amp;L'!W21/'Yields, Margins &amp; Ratios'!W27)*4</f>
        <v>4.0951974293695736E-2</v>
      </c>
      <c r="X16" s="201"/>
      <c r="Y16" s="382">
        <f>(+'P&amp;L'!AA21/Y27)</f>
        <v>5.3314199431507857E-2</v>
      </c>
      <c r="Z16" s="230">
        <f>(+'P&amp;L'!AB21/Z27)</f>
        <v>4.5475764219171058E-2</v>
      </c>
      <c r="AA16" s="382">
        <f>(+'P&amp;L'!AC21/AA27)</f>
        <v>4.2526103930086226E-2</v>
      </c>
      <c r="AB16" s="230">
        <f>(+'P&amp;L'!AD21/AB27)</f>
        <v>4.5530268383960605E-2</v>
      </c>
      <c r="AC16" s="230">
        <f>(+'P&amp;L'!AE21/AC27)</f>
        <v>4.4942721447545873E-2</v>
      </c>
      <c r="AD16" s="230">
        <f>(+'P&amp;L'!AF21/AD27)</f>
        <v>4.1729802539183194E-2</v>
      </c>
      <c r="AE16" s="230">
        <f>(+'P&amp;L'!AG21/AE27)</f>
        <v>4.1697913173658223E-2</v>
      </c>
      <c r="AF16" s="231">
        <f>(+'P&amp;L'!AH21/AF27)</f>
        <v>4.2200370271855879E-2</v>
      </c>
      <c r="AG16" s="171"/>
    </row>
    <row r="17" spans="2:35" s="203" customFormat="1" x14ac:dyDescent="0.25">
      <c r="B17" s="510" t="s">
        <v>74</v>
      </c>
      <c r="C17" s="293">
        <f>(+'P&amp;L'!C25/'Yields, Margins &amp; Ratios'!C27)*4</f>
        <v>2.6409917720843997E-2</v>
      </c>
      <c r="D17" s="293">
        <f>(+'P&amp;L'!D25/'Yields, Margins &amp; Ratios'!D27)*4</f>
        <v>3.9015775804319044E-2</v>
      </c>
      <c r="E17" s="293">
        <f>(+'P&amp;L'!E25/'Yields, Margins &amp; Ratios'!E27)*4</f>
        <v>3.5802567987426218E-2</v>
      </c>
      <c r="F17" s="293">
        <f>(+'P&amp;L'!F25/'Yields, Margins &amp; Ratios'!F27)*4</f>
        <v>4.3878238053261472E-2</v>
      </c>
      <c r="G17" s="232">
        <f>(+'P&amp;L'!G25/'Yields, Margins &amp; Ratios'!G27)*4</f>
        <v>3.1695730665148233E-2</v>
      </c>
      <c r="H17" s="232">
        <f>(+'P&amp;L'!H25/'Yields, Margins &amp; Ratios'!H27)*4</f>
        <v>3.6611116995395009E-2</v>
      </c>
      <c r="I17" s="232">
        <f>(+'P&amp;L'!I25/'Yields, Margins &amp; Ratios'!I27)*4</f>
        <v>3.5089436089742493E-2</v>
      </c>
      <c r="J17" s="232">
        <f>(+'P&amp;L'!J25/'Yields, Margins &amp; Ratios'!J27)*4</f>
        <v>3.841342694496732E-2</v>
      </c>
      <c r="K17" s="386">
        <f>(+'P&amp;L'!K23/'Yields, Margins &amp; Ratios'!K27)*4</f>
        <v>3.1560452971251908E-2</v>
      </c>
      <c r="L17" s="232">
        <f>(+'P&amp;L'!L23/'Yields, Margins &amp; Ratios'!L27)*4</f>
        <v>3.3097023198423427E-2</v>
      </c>
      <c r="M17" s="232">
        <f>(+'P&amp;L'!M23/'Yields, Margins &amp; Ratios'!M27)*4</f>
        <v>3.060841898552458E-2</v>
      </c>
      <c r="N17" s="233">
        <f>(+'P&amp;L'!N23/'Yields, Margins &amp; Ratios'!N27)*4</f>
        <v>3.5688246742424677E-2</v>
      </c>
      <c r="O17" s="232">
        <f>(+'P&amp;L'!O25/'Yields, Margins &amp; Ratios'!O27)*4</f>
        <v>3.0102963476629031E-2</v>
      </c>
      <c r="P17" s="232">
        <f>(+'P&amp;L'!P25/'Yields, Margins &amp; Ratios'!P27)*4</f>
        <v>3.489952764931107E-2</v>
      </c>
      <c r="Q17" s="232">
        <f>(+'P&amp;L'!Q25/'Yields, Margins &amp; Ratios'!Q27)*4</f>
        <v>3.3684470724545619E-2</v>
      </c>
      <c r="R17" s="232">
        <f>(+'P&amp;L'!R25/'Yields, Margins &amp; Ratios'!R27)*4</f>
        <v>3.3752604252150063E-2</v>
      </c>
      <c r="S17" s="386">
        <f>(+'P&amp;L'!S25/'Yields, Margins &amp; Ratios'!S27)*4</f>
        <v>2.9396468225945865E-2</v>
      </c>
      <c r="T17" s="232">
        <f>(+'P&amp;L'!T25/'Yields, Margins &amp; Ratios'!T27)*4</f>
        <v>3.3963807636647067E-2</v>
      </c>
      <c r="U17" s="232">
        <f>(+'P&amp;L'!U25/'Yields, Margins &amp; Ratios'!U27)*4</f>
        <v>3.4297586120510065E-2</v>
      </c>
      <c r="V17" s="233">
        <f>(+'P&amp;L'!V25/'Yields, Margins &amp; Ratios'!V27)*4</f>
        <v>3.50176181000912E-2</v>
      </c>
      <c r="W17" s="233">
        <f>(+'P&amp;L'!W25/'Yields, Margins &amp; Ratios'!W27)*4</f>
        <v>3.1865683642592894E-2</v>
      </c>
      <c r="X17" s="295"/>
      <c r="Y17" s="386">
        <f>(+'P&amp;L'!AA23/Y27)</f>
        <v>3.6394700938653768E-2</v>
      </c>
      <c r="Z17" s="232">
        <f>(+'P&amp;L'!AB23/Z27)</f>
        <v>3.7507207706386318E-2</v>
      </c>
      <c r="AA17" s="386">
        <f>(+'P&amp;L'!AC25/AA27)</f>
        <v>3.4943518367474329E-2</v>
      </c>
      <c r="AB17" s="232">
        <f>(+'P&amp;L'!AD25/AB27)</f>
        <v>3.5785812604760527E-2</v>
      </c>
      <c r="AC17" s="232">
        <f>(+'P&amp;L'!AE25/AC27)</f>
        <v>3.5060383763054009E-2</v>
      </c>
      <c r="AD17" s="232">
        <f>(+'P&amp;L'!AF25/AD27)</f>
        <v>3.2802034326768065E-2</v>
      </c>
      <c r="AE17" s="232">
        <f>(+'P&amp;L'!AG25/AE27)</f>
        <v>3.2690874198760697E-2</v>
      </c>
      <c r="AF17" s="233">
        <f>(+'P&amp;L'!AH25/AF27)</f>
        <v>3.2918549272320283E-2</v>
      </c>
      <c r="AG17" s="171"/>
      <c r="AI17" s="214"/>
    </row>
    <row r="18" spans="2:35" s="507" customFormat="1" x14ac:dyDescent="0.25">
      <c r="B18" s="512" t="s">
        <v>75</v>
      </c>
      <c r="C18" s="517">
        <v>3.7257274874217061</v>
      </c>
      <c r="D18" s="517">
        <v>3.7580654765449153</v>
      </c>
      <c r="E18" s="517">
        <v>3.8029731185465603</v>
      </c>
      <c r="F18" s="517">
        <v>3.8690418125786645</v>
      </c>
      <c r="G18" s="518">
        <v>3.9414993583582394</v>
      </c>
      <c r="H18" s="518">
        <v>3.9397410543125608</v>
      </c>
      <c r="I18" s="518">
        <v>3.9573353353968814</v>
      </c>
      <c r="J18" s="518">
        <v>4.0476542846741195</v>
      </c>
      <c r="K18" s="519">
        <f t="shared" ref="K18:V18" si="0">(+K19/K17)</f>
        <v>4.1766765736908074</v>
      </c>
      <c r="L18" s="518">
        <f t="shared" si="0"/>
        <v>4.2609111953936063</v>
      </c>
      <c r="M18" s="518">
        <f t="shared" si="0"/>
        <v>4.2669672048548906</v>
      </c>
      <c r="N18" s="520">
        <f t="shared" si="0"/>
        <v>4.3253746097739434</v>
      </c>
      <c r="O18" s="518">
        <f t="shared" si="0"/>
        <v>4.3654483288466643</v>
      </c>
      <c r="P18" s="518">
        <f t="shared" si="0"/>
        <v>4.260430283351603</v>
      </c>
      <c r="Q18" s="518">
        <f t="shared" si="0"/>
        <v>4.2176063904062406</v>
      </c>
      <c r="R18" s="518">
        <f t="shared" si="0"/>
        <v>4.2661601948633345</v>
      </c>
      <c r="S18" s="519">
        <f t="shared" si="0"/>
        <v>4.2715253177883605</v>
      </c>
      <c r="T18" s="518">
        <f t="shared" si="0"/>
        <v>4.2127406932046227</v>
      </c>
      <c r="U18" s="518">
        <f t="shared" si="0"/>
        <v>4.1655226960700871</v>
      </c>
      <c r="V18" s="520">
        <f t="shared" si="0"/>
        <v>4.1883458090864156</v>
      </c>
      <c r="W18" s="520">
        <f>(+W19/W17)</f>
        <v>4.1865447675999681</v>
      </c>
      <c r="X18" s="521"/>
      <c r="Y18" s="519">
        <f>(+Y19/Y17)</f>
        <v>3.1937122853113014</v>
      </c>
      <c r="Z18" s="518">
        <f t="shared" ref="Z18:AF18" si="1">(+Z19/Z17)</f>
        <v>3.3759080218406927</v>
      </c>
      <c r="AA18" s="519">
        <f t="shared" si="1"/>
        <v>3.6932220158454503</v>
      </c>
      <c r="AB18" s="518">
        <f t="shared" si="1"/>
        <v>3.8349799574376346</v>
      </c>
      <c r="AC18" s="518">
        <f t="shared" si="1"/>
        <v>4.0193641026151417</v>
      </c>
      <c r="AD18" s="518">
        <f t="shared" si="1"/>
        <v>4.24962232680695</v>
      </c>
      <c r="AE18" s="518">
        <f t="shared" si="1"/>
        <v>4.319804623109702</v>
      </c>
      <c r="AF18" s="520">
        <f t="shared" si="1"/>
        <v>4.2320801773198937</v>
      </c>
      <c r="AG18" s="522"/>
    </row>
    <row r="19" spans="2:35" s="171" customFormat="1" x14ac:dyDescent="0.25">
      <c r="B19" s="510" t="s">
        <v>76</v>
      </c>
      <c r="C19" s="293">
        <f>((+'P&amp;L'!C25/'Yields, Margins &amp; Ratios'!C28))*4</f>
        <v>9.8396156393094097E-2</v>
      </c>
      <c r="D19" s="293">
        <f>((+'P&amp;L'!D25/'Yields, Margins &amp; Ratios'!D28))*4</f>
        <v>0.14662384009082785</v>
      </c>
      <c r="E19" s="293">
        <f>((+'P&amp;L'!E25/'Yields, Margins &amp; Ratios'!E28))*4</f>
        <v>0.13615620363111755</v>
      </c>
      <c r="F19" s="293">
        <f>((+'P&amp;L'!F25/'Yields, Margins &amp; Ratios'!F28))*4</f>
        <v>0.16976673769034892</v>
      </c>
      <c r="G19" s="232">
        <f>((+'P&amp;L'!G25/'Yields, Margins &amp; Ratios'!G28))*4</f>
        <v>0.12492870207937733</v>
      </c>
      <c r="H19" s="232">
        <f>((+'P&amp;L'!H25/'Yields, Margins &amp; Ratios'!H28))*4</f>
        <v>0.14423832067099804</v>
      </c>
      <c r="I19" s="232">
        <f>((+'P&amp;L'!I25/'Yields, Margins &amp; Ratios'!I28))*4</f>
        <v>0.13886066533708855</v>
      </c>
      <c r="J19" s="232">
        <f>((+'P&amp;L'!J25/'Yields, Margins &amp; Ratios'!J28))*4</f>
        <v>0.15548427216281324</v>
      </c>
      <c r="K19" s="386">
        <f>((+'P&amp;L'!K25/'Yields, Margins &amp; Ratios'!K28))*4</f>
        <v>0.13181780458009829</v>
      </c>
      <c r="L19" s="232">
        <f>((+'P&amp;L'!L25/'Yields, Margins &amp; Ratios'!L28))*4</f>
        <v>0.14102347668036427</v>
      </c>
      <c r="M19" s="232">
        <f>((+'P&amp;L'!M25/'Yields, Margins &amp; Ratios'!M28))*4</f>
        <v>0.13060512000369118</v>
      </c>
      <c r="N19" s="233">
        <f>((+'P&amp;L'!N25/'Yields, Margins &amp; Ratios'!N28))*4</f>
        <v>0.15436503632703133</v>
      </c>
      <c r="O19" s="232">
        <f>((+'P&amp;L'!O25/'Yields, Margins &amp; Ratios'!O28))*4</f>
        <v>0.13141293160238238</v>
      </c>
      <c r="P19" s="232">
        <f>((+'P&amp;L'!P25/'Yields, Margins &amp; Ratios'!P28))*4</f>
        <v>0.14868700447179145</v>
      </c>
      <c r="Q19" s="232">
        <f>((+'P&amp;L'!Q25/'Yields, Margins &amp; Ratios'!Q28))*4</f>
        <v>0.14206783898529554</v>
      </c>
      <c r="R19" s="232">
        <f>((+'P&amp;L'!R25/'Yields, Margins &amp; Ratios'!R28))*4</f>
        <v>0.14399401673349752</v>
      </c>
      <c r="S19" s="386">
        <f>((+'P&amp;L'!S25/'Yields, Margins &amp; Ratios'!S28))*4</f>
        <v>0.12556775828068886</v>
      </c>
      <c r="T19" s="232">
        <f>((+'P&amp;L'!T25/'Yields, Margins &amp; Ratios'!T28))*4</f>
        <v>0.14308071452707702</v>
      </c>
      <c r="U19" s="232">
        <f>((+'P&amp;L'!U25/'Yields, Margins &amp; Ratios'!U28))*4</f>
        <v>0.14286737340540309</v>
      </c>
      <c r="V19" s="233">
        <f>((+'P&amp;L'!V25/'Yields, Margins &amp; Ratios'!V28))*4</f>
        <v>0.14666589401370558</v>
      </c>
      <c r="W19" s="233">
        <f>((+'P&amp;L'!W25/'Yields, Margins &amp; Ratios'!W28))*4</f>
        <v>0.13340711111989317</v>
      </c>
      <c r="X19" s="295"/>
      <c r="Y19" s="386">
        <f>((+'P&amp;L'!AA23/Y28))</f>
        <v>0.11623420350800928</v>
      </c>
      <c r="Z19" s="232">
        <f>((+'P&amp;L'!AB23/Z28))</f>
        <v>0.12662088337283461</v>
      </c>
      <c r="AA19" s="386">
        <f>((+'P&amp;L'!AC25/AA28))</f>
        <v>0.12905417134585606</v>
      </c>
      <c r="AB19" s="232">
        <f>((+'P&amp;L'!AD25/AB28))</f>
        <v>0.1372378740998757</v>
      </c>
      <c r="AC19" s="232">
        <f>((+'P&amp;L'!AE25/AC28))</f>
        <v>0.14092044792113007</v>
      </c>
      <c r="AD19" s="232">
        <f>((+'P&amp;L'!AF25/AD28))</f>
        <v>0.13939625743972156</v>
      </c>
      <c r="AE19" s="232">
        <f>((+'P&amp;L'!AG25/AE28))</f>
        <v>0.14121818949730414</v>
      </c>
      <c r="AF19" s="233">
        <f>((+'P&amp;L'!AH25/AF28))</f>
        <v>0.13931393984151488</v>
      </c>
      <c r="AI19" s="214"/>
    </row>
    <row r="20" spans="2:35" s="171" customFormat="1" x14ac:dyDescent="0.25">
      <c r="B20" s="522"/>
      <c r="C20" s="522"/>
      <c r="D20" s="522"/>
      <c r="E20" s="522"/>
      <c r="F20" s="522"/>
      <c r="G20" s="202"/>
      <c r="H20" s="202"/>
      <c r="I20" s="202"/>
      <c r="J20" s="202"/>
      <c r="K20" s="295"/>
      <c r="L20" s="295"/>
      <c r="M20" s="295"/>
      <c r="N20" s="295"/>
      <c r="O20" s="295"/>
      <c r="P20" s="295"/>
      <c r="Q20" s="383"/>
      <c r="R20" s="383"/>
      <c r="S20" s="383"/>
      <c r="T20" s="383"/>
      <c r="U20" s="383"/>
      <c r="V20" s="383"/>
      <c r="W20" s="383"/>
      <c r="X20" s="202"/>
      <c r="Y20" s="202"/>
      <c r="Z20" s="202"/>
      <c r="AA20" s="202"/>
      <c r="AB20" s="202"/>
      <c r="AC20" s="202"/>
      <c r="AD20" s="202"/>
      <c r="AE20" s="202"/>
      <c r="AF20" s="202"/>
    </row>
    <row r="21" spans="2:35" x14ac:dyDescent="0.25">
      <c r="B21" s="510" t="s">
        <v>77</v>
      </c>
      <c r="C21" s="511"/>
      <c r="D21" s="511"/>
      <c r="E21" s="511"/>
      <c r="F21" s="51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364"/>
      <c r="R21" s="364"/>
      <c r="S21" s="364"/>
      <c r="T21" s="364"/>
      <c r="U21" s="364"/>
      <c r="V21" s="422"/>
      <c r="W21" s="422"/>
      <c r="Y21" s="390"/>
      <c r="Z21" s="364"/>
      <c r="AA21" s="390"/>
      <c r="AB21" s="364"/>
      <c r="AC21" s="364"/>
      <c r="AD21" s="364"/>
      <c r="AE21" s="364"/>
      <c r="AF21" s="192"/>
    </row>
    <row r="22" spans="2:35" x14ac:dyDescent="0.25">
      <c r="B22" s="523" t="s">
        <v>78</v>
      </c>
      <c r="C22" s="124">
        <f>+'P&amp;L'!C18/'P&amp;L'!C15</f>
        <v>0.41529491717818423</v>
      </c>
      <c r="D22" s="124">
        <f>+'P&amp;L'!D18/'P&amp;L'!D15</f>
        <v>0.40792152570115148</v>
      </c>
      <c r="E22" s="124">
        <f>+'P&amp;L'!E18/'P&amp;L'!E15</f>
        <v>0.41341638820151178</v>
      </c>
      <c r="F22" s="124">
        <f>+'P&amp;L'!F18/'P&amp;L'!F15</f>
        <v>0.43728942772527407</v>
      </c>
      <c r="G22" s="199">
        <f>+'P&amp;L'!G18/'P&amp;L'!G15</f>
        <v>0.46459535519894885</v>
      </c>
      <c r="H22" s="199">
        <f>+'P&amp;L'!H18/'P&amp;L'!H15</f>
        <v>0.4463097726788588</v>
      </c>
      <c r="I22" s="199">
        <f>+'P&amp;L'!I18/'P&amp;L'!I15</f>
        <v>0.4568560950432588</v>
      </c>
      <c r="J22" s="199">
        <f>+'P&amp;L'!J18/'P&amp;L'!J15</f>
        <v>0.41886400990828504</v>
      </c>
      <c r="K22" s="492">
        <f>+'P&amp;L'!K18/'P&amp;L'!K15</f>
        <v>0.47365348940674101</v>
      </c>
      <c r="L22" s="199">
        <f>+'P&amp;L'!L18/'P&amp;L'!L15</f>
        <v>0.44030795861062433</v>
      </c>
      <c r="M22" s="199">
        <f>+'P&amp;L'!M18/'P&amp;L'!M15</f>
        <v>0.45790740178074985</v>
      </c>
      <c r="N22" s="200">
        <f>+'P&amp;L'!N18/'P&amp;L'!N15</f>
        <v>0.43887212521468466</v>
      </c>
      <c r="O22" s="199">
        <f>+'P&amp;L'!O18/'P&amp;L'!O15</f>
        <v>0.44662202646906279</v>
      </c>
      <c r="P22" s="199">
        <f>+'P&amp;L'!P18/'P&amp;L'!P15</f>
        <v>0.40851503603378347</v>
      </c>
      <c r="Q22" s="199">
        <f>+'P&amp;L'!Q18/'P&amp;L'!Q15</f>
        <v>0.42238258910653587</v>
      </c>
      <c r="R22" s="199">
        <f>+'P&amp;L'!R18/'P&amp;L'!R15</f>
        <v>0.45736912768774579</v>
      </c>
      <c r="S22" s="492">
        <f>+'P&amp;L'!S18/'P&amp;L'!S15</f>
        <v>0.46269008059300831</v>
      </c>
      <c r="T22" s="199">
        <f>+'P&amp;L'!T18/'P&amp;L'!T15</f>
        <v>0.43651156645445849</v>
      </c>
      <c r="U22" s="199">
        <f>+'P&amp;L'!U18/'P&amp;L'!U15</f>
        <v>0.4289965773480382</v>
      </c>
      <c r="V22" s="200">
        <f>+'P&amp;L'!V18/'P&amp;L'!V15</f>
        <v>0.4586161706536041</v>
      </c>
      <c r="W22" s="200">
        <f>+'P&amp;L'!W18/'P&amp;L'!W15</f>
        <v>0.43728347909572773</v>
      </c>
      <c r="X22" s="295"/>
      <c r="Y22" s="391">
        <f>+'P&amp;L'!AA18/'P&amp;L'!AA15</f>
        <v>0.40847620647853894</v>
      </c>
      <c r="Z22" s="365">
        <f>+'P&amp;L'!AB18/'P&amp;L'!AB15</f>
        <v>0.41455192390942019</v>
      </c>
      <c r="AA22" s="391">
        <f>+'P&amp;L'!AC18/'P&amp;L'!AC15</f>
        <v>0.39075795693686854</v>
      </c>
      <c r="AB22" s="365">
        <f>+'P&amp;L'!AD18/'P&amp;L'!AD15</f>
        <v>0.4193873254206657</v>
      </c>
      <c r="AC22" s="365">
        <f>+'P&amp;L'!AE18/'P&amp;L'!AE15</f>
        <v>0.44522766362600241</v>
      </c>
      <c r="AD22" s="365">
        <f>+'P&amp;L'!AF18/'P&amp;L'!AF15</f>
        <v>0.45208322956572222</v>
      </c>
      <c r="AE22" s="365">
        <f>+'P&amp;L'!AG18/'P&amp;L'!AG15</f>
        <v>0.43415697275923615</v>
      </c>
      <c r="AF22" s="200">
        <f>+'P&amp;L'!AH18/'P&amp;L'!AH15</f>
        <v>0.44662726485325827</v>
      </c>
      <c r="AG22" s="593"/>
      <c r="AI22" s="214"/>
    </row>
    <row r="23" spans="2:35" s="130" customFormat="1" x14ac:dyDescent="0.25">
      <c r="B23" s="524" t="s">
        <v>79</v>
      </c>
      <c r="C23" s="131">
        <f>(+'P&amp;L'!C18/'Yields, Margins &amp; Ratios'!C29)*4</f>
        <v>2.739059023385515E-2</v>
      </c>
      <c r="D23" s="131">
        <f>(+'P&amp;L'!D18/'Yields, Margins &amp; Ratios'!D29)*4</f>
        <v>3.4323558254679511E-2</v>
      </c>
      <c r="E23" s="131">
        <f>(+'P&amp;L'!E18/'Yields, Margins &amp; Ratios'!E29)*4</f>
        <v>3.4438688018727577E-2</v>
      </c>
      <c r="F23" s="131">
        <f>(+'P&amp;L'!F18/'Yields, Margins &amp; Ratios'!F29)*4</f>
        <v>3.8398324189407813E-2</v>
      </c>
      <c r="G23" s="205">
        <f>(+'P&amp;L'!G18/'Yields, Margins &amp; Ratios'!G29)*4</f>
        <v>3.4521322128931137E-2</v>
      </c>
      <c r="H23" s="205">
        <f>(+'P&amp;L'!H18/'Yields, Margins &amp; Ratios'!H29)*4</f>
        <v>3.6786991886144704E-2</v>
      </c>
      <c r="I23" s="205">
        <f>(+'P&amp;L'!I18/'Yields, Margins &amp; Ratios'!I29)*4</f>
        <v>3.7141589258841763E-2</v>
      </c>
      <c r="J23" s="205">
        <f>(+'P&amp;L'!J18/'Yields, Margins &amp; Ratios'!J29)*4</f>
        <v>3.4895181380735739E-2</v>
      </c>
      <c r="K23" s="207">
        <f>(+'P&amp;L'!K18/'Yields, Margins &amp; Ratios'!K29)*4</f>
        <v>3.6562740809501421E-2</v>
      </c>
      <c r="L23" s="205">
        <f>(+'P&amp;L'!L18/'Yields, Margins &amp; Ratios'!L29)*4</f>
        <v>3.4254727378922642E-2</v>
      </c>
      <c r="M23" s="205">
        <f>(+'P&amp;L'!M18/'Yields, Margins &amp; Ratios'!M29)*4</f>
        <v>3.3940700083610081E-2</v>
      </c>
      <c r="N23" s="206">
        <f>(+'P&amp;L'!N18/'Yields, Margins &amp; Ratios'!N29)*4</f>
        <v>3.4067395770190835E-2</v>
      </c>
      <c r="O23" s="205">
        <f>(+'P&amp;L'!O18/'Yields, Margins &amp; Ratios'!O29)*4</f>
        <v>3.1137372221985961E-2</v>
      </c>
      <c r="P23" s="205">
        <f>(+'P&amp;L'!P18/'Yields, Margins &amp; Ratios'!P29)*4</f>
        <v>2.9709769247992606E-2</v>
      </c>
      <c r="Q23" s="205">
        <f>(+'P&amp;L'!Q18/'Yields, Margins &amp; Ratios'!Q29)*4</f>
        <v>3.0229464493402029E-2</v>
      </c>
      <c r="R23" s="205">
        <f>(+'P&amp;L'!R18/'Yields, Margins &amp; Ratios'!R29)*4</f>
        <v>3.4152370983752643E-2</v>
      </c>
      <c r="S23" s="207">
        <f>(+'P&amp;L'!S18/'Yields, Margins &amp; Ratios'!S29)*4</f>
        <v>3.1865582514319757E-2</v>
      </c>
      <c r="T23" s="205">
        <f>(+'P&amp;L'!T18/'Yields, Margins &amp; Ratios'!T29)*4</f>
        <v>3.226810586489965E-2</v>
      </c>
      <c r="U23" s="205">
        <f>(+'P&amp;L'!U18/'Yields, Margins &amp; Ratios'!U29)*4</f>
        <v>3.134526148234635E-2</v>
      </c>
      <c r="V23" s="206">
        <f>(+'P&amp;L'!V18/'Yields, Margins &amp; Ratios'!V29)*4</f>
        <v>3.5241394720896137E-2</v>
      </c>
      <c r="W23" s="206">
        <f>(+'P&amp;L'!W18/'Yields, Margins &amp; Ratios'!W29)*4</f>
        <v>3.0557727898298071E-2</v>
      </c>
      <c r="X23" s="295"/>
      <c r="Y23" s="207">
        <f>(+'P&amp;L'!AA18/'Yields, Margins &amp; Ratios'!Y29)</f>
        <v>3.6764908172388214E-2</v>
      </c>
      <c r="Z23" s="205">
        <f>(+'P&amp;L'!AB18/'Yields, Margins &amp; Ratios'!Z29)</f>
        <v>3.2718363899950358E-2</v>
      </c>
      <c r="AA23" s="207">
        <f>(+'P&amp;L'!AC18/'Yields, Margins &amp; Ratios'!AA29)</f>
        <v>2.903584664460861E-2</v>
      </c>
      <c r="AB23" s="205">
        <f>(+'P&amp;L'!AD18/'Yields, Margins &amp; Ratios'!AB29)</f>
        <v>3.3154352130747758E-2</v>
      </c>
      <c r="AC23" s="205">
        <f>(+'P&amp;L'!AE18/'Yields, Margins &amp; Ratios'!AC29)</f>
        <v>3.5314773245566103E-2</v>
      </c>
      <c r="AD23" s="205">
        <f>(+'P&amp;L'!AF18/'Yields, Margins &amp; Ratios'!AD29)</f>
        <v>3.4019191326230359E-2</v>
      </c>
      <c r="AE23" s="205">
        <f>(+'P&amp;L'!AG18/'Yields, Margins &amp; Ratios'!AE29)</f>
        <v>3.0896645007626511E-2</v>
      </c>
      <c r="AF23" s="206">
        <f>(+'P&amp;L'!AH18/'Yields, Margins &amp; Ratios'!AF29)</f>
        <v>3.2163606676978714E-2</v>
      </c>
      <c r="AG23" s="593"/>
    </row>
    <row r="24" spans="2:35" x14ac:dyDescent="0.25">
      <c r="B24" s="512" t="s">
        <v>80</v>
      </c>
      <c r="C24" s="517"/>
      <c r="D24" s="517"/>
      <c r="E24" s="517"/>
      <c r="F24" s="517"/>
      <c r="G24" s="208">
        <v>0.50460000000000005</v>
      </c>
      <c r="H24" s="208">
        <v>0.50359999999999994</v>
      </c>
      <c r="I24" s="208">
        <v>0.495</v>
      </c>
      <c r="J24" s="208">
        <v>0.46960000000000002</v>
      </c>
      <c r="K24" s="493">
        <v>0.47320000000000001</v>
      </c>
      <c r="L24" s="194">
        <v>0.48159999999999997</v>
      </c>
      <c r="M24" s="194">
        <v>0.45009999999999994</v>
      </c>
      <c r="N24" s="416">
        <v>0.443</v>
      </c>
      <c r="O24" s="194">
        <v>0.44450000000000001</v>
      </c>
      <c r="P24" s="194">
        <v>0.46479999999999999</v>
      </c>
      <c r="Q24" s="208">
        <v>0.4556</v>
      </c>
      <c r="R24" s="208">
        <v>0.44500000000000001</v>
      </c>
      <c r="S24" s="493">
        <v>0.43200000000000005</v>
      </c>
      <c r="T24" s="208">
        <v>0.4642</v>
      </c>
      <c r="U24" s="208">
        <v>0.46389999999999998</v>
      </c>
      <c r="V24" s="416">
        <v>0.44579999999999997</v>
      </c>
      <c r="W24" s="416">
        <v>0.4466</v>
      </c>
      <c r="X24" s="198"/>
      <c r="Y24" s="196">
        <v>0.67769999999999997</v>
      </c>
      <c r="Z24" s="194">
        <v>0.55850000000000011</v>
      </c>
      <c r="AA24" s="196">
        <v>0.5454</v>
      </c>
      <c r="AB24" s="194">
        <v>0.5141</v>
      </c>
      <c r="AC24" s="194">
        <v>0.46960000000000002</v>
      </c>
      <c r="AD24" s="194">
        <v>0.43990000000000001</v>
      </c>
      <c r="AE24" s="194">
        <v>0.44500000000000001</v>
      </c>
      <c r="AF24" s="195">
        <v>0.44579999999999997</v>
      </c>
    </row>
    <row r="25" spans="2:35" s="532" customFormat="1" x14ac:dyDescent="0.25">
      <c r="B25" s="525" t="s">
        <v>164</v>
      </c>
      <c r="C25" s="526"/>
      <c r="D25" s="526"/>
      <c r="E25" s="526"/>
      <c r="F25" s="526"/>
      <c r="G25" s="527">
        <v>367.9</v>
      </c>
      <c r="H25" s="527">
        <v>383.6</v>
      </c>
      <c r="I25" s="527">
        <v>398.4</v>
      </c>
      <c r="J25" s="527">
        <v>413.6</v>
      </c>
      <c r="K25" s="528">
        <v>428.5</v>
      </c>
      <c r="L25" s="527">
        <v>444.1</v>
      </c>
      <c r="M25" s="527">
        <v>458.9</v>
      </c>
      <c r="N25" s="529">
        <v>476.8</v>
      </c>
      <c r="O25" s="527">
        <v>493</v>
      </c>
      <c r="P25" s="527">
        <v>511.5</v>
      </c>
      <c r="Q25" s="527">
        <v>530.29999999999995</v>
      </c>
      <c r="R25" s="527">
        <v>550.93244965507051</v>
      </c>
      <c r="S25" s="528">
        <v>569.74623159156192</v>
      </c>
      <c r="T25" s="527">
        <v>591</v>
      </c>
      <c r="U25" s="527">
        <v>613.55967084951817</v>
      </c>
      <c r="V25" s="529">
        <v>637.18258190292988</v>
      </c>
      <c r="W25" s="529">
        <v>658.30539752301172</v>
      </c>
      <c r="X25" s="530"/>
      <c r="Y25" s="528">
        <v>235.2</v>
      </c>
      <c r="Z25" s="527">
        <v>267.89999999999998</v>
      </c>
      <c r="AA25" s="528">
        <v>305.89999999999998</v>
      </c>
      <c r="AB25" s="527">
        <v>355.8</v>
      </c>
      <c r="AC25" s="531">
        <v>413.6</v>
      </c>
      <c r="AD25" s="531">
        <v>476.8</v>
      </c>
      <c r="AE25" s="531">
        <v>550.93244965507051</v>
      </c>
      <c r="AF25" s="529">
        <v>637.18258190292988</v>
      </c>
    </row>
    <row r="26" spans="2:35" x14ac:dyDescent="0.25">
      <c r="O26" s="209"/>
      <c r="P26" s="209"/>
      <c r="Q26" s="201"/>
      <c r="R26" s="201"/>
      <c r="S26" s="201"/>
      <c r="T26" s="201"/>
      <c r="U26" s="201"/>
      <c r="V26" s="201"/>
      <c r="W26" s="201"/>
      <c r="X26" s="209"/>
      <c r="AF26" s="209"/>
    </row>
    <row r="27" spans="2:35" x14ac:dyDescent="0.25">
      <c r="B27" s="523" t="s">
        <v>81</v>
      </c>
      <c r="C27" s="533">
        <v>90712.15</v>
      </c>
      <c r="D27" s="533">
        <v>94668.3</v>
      </c>
      <c r="E27" s="533">
        <v>99553.85</v>
      </c>
      <c r="F27" s="533">
        <v>105899.35</v>
      </c>
      <c r="G27" s="534">
        <v>112601.01570335613</v>
      </c>
      <c r="H27" s="534">
        <v>116939</v>
      </c>
      <c r="I27" s="534">
        <v>122287.4</v>
      </c>
      <c r="J27" s="534">
        <v>129900.15488912954</v>
      </c>
      <c r="K27" s="535">
        <v>139048.45488912956</v>
      </c>
      <c r="L27" s="534">
        <v>147183.79999999999</v>
      </c>
      <c r="M27" s="534">
        <v>152436.54999999999</v>
      </c>
      <c r="N27" s="536">
        <v>159845.81847044517</v>
      </c>
      <c r="O27" s="534">
        <v>167559.34498168109</v>
      </c>
      <c r="P27" s="534">
        <v>169387.67999132921</v>
      </c>
      <c r="Q27" s="534">
        <v>173875.83765704173</v>
      </c>
      <c r="R27" s="534">
        <v>182542.60446160834</v>
      </c>
      <c r="S27" s="535">
        <v>189455.7987554362</v>
      </c>
      <c r="T27" s="534">
        <v>193568.62880467396</v>
      </c>
      <c r="U27" s="534">
        <v>198653.89089631563</v>
      </c>
      <c r="V27" s="536">
        <v>207511.19459973864</v>
      </c>
      <c r="W27" s="536">
        <f>+AVERAGE(BS!V20:W20)</f>
        <v>214987.50938087466</v>
      </c>
      <c r="Y27" s="535">
        <v>48334.654357250656</v>
      </c>
      <c r="Z27" s="534">
        <v>66419.184411856579</v>
      </c>
      <c r="AA27" s="535">
        <v>83085.279840449861</v>
      </c>
      <c r="AB27" s="534">
        <v>99902.149989200087</v>
      </c>
      <c r="AC27" s="534">
        <v>122154.57059248569</v>
      </c>
      <c r="AD27" s="534">
        <v>149649.92335957469</v>
      </c>
      <c r="AE27" s="534">
        <v>175689.63875510482</v>
      </c>
      <c r="AF27" s="536">
        <v>199154.87432198043</v>
      </c>
    </row>
    <row r="28" spans="2:35" x14ac:dyDescent="0.25">
      <c r="B28" s="512" t="s">
        <v>82</v>
      </c>
      <c r="C28" s="537">
        <v>24347.5</v>
      </c>
      <c r="D28" s="537">
        <v>25190.7</v>
      </c>
      <c r="E28" s="537">
        <v>26177.9</v>
      </c>
      <c r="F28" s="537">
        <v>27370.95</v>
      </c>
      <c r="G28" s="538">
        <v>28568.066480735914</v>
      </c>
      <c r="H28" s="538">
        <v>29681.9</v>
      </c>
      <c r="I28" s="538">
        <v>30901.450000000004</v>
      </c>
      <c r="J28" s="538">
        <v>32092.700056172886</v>
      </c>
      <c r="K28" s="539">
        <v>33291.65005617289</v>
      </c>
      <c r="L28" s="538">
        <v>34511.15</v>
      </c>
      <c r="M28" s="538">
        <v>35724.800000000003</v>
      </c>
      <c r="N28" s="540">
        <v>37023.575961296068</v>
      </c>
      <c r="O28" s="538">
        <v>38383.078291055994</v>
      </c>
      <c r="P28" s="538">
        <v>39758.350383819692</v>
      </c>
      <c r="Q28" s="538">
        <v>41226.188876362634</v>
      </c>
      <c r="R28" s="538">
        <v>42788.502101116261</v>
      </c>
      <c r="S28" s="539">
        <v>44353.195793190214</v>
      </c>
      <c r="T28" s="538">
        <v>45948.384413242093</v>
      </c>
      <c r="U28" s="538">
        <v>47690.027252458196</v>
      </c>
      <c r="V28" s="540">
        <v>49544.904852305423</v>
      </c>
      <c r="W28" s="540">
        <f>+AVERAGE(BS!V8:W8)</f>
        <v>51352.014922826471</v>
      </c>
      <c r="Y28" s="539">
        <v>15134.317070311587</v>
      </c>
      <c r="Z28" s="538">
        <v>19674.46505714985</v>
      </c>
      <c r="AA28" s="539">
        <v>22496.692450109862</v>
      </c>
      <c r="AB28" s="538">
        <v>26050.240444007512</v>
      </c>
      <c r="AC28" s="538">
        <v>30391.516536908803</v>
      </c>
      <c r="AD28" s="538">
        <v>35214.876017468952</v>
      </c>
      <c r="AE28" s="538">
        <v>40670.737240109476</v>
      </c>
      <c r="AF28" s="540">
        <v>47058.388777525928</v>
      </c>
    </row>
    <row r="29" spans="2:35" x14ac:dyDescent="0.25">
      <c r="B29" s="512" t="s">
        <v>83</v>
      </c>
      <c r="C29" s="537">
        <v>95349.653876310258</v>
      </c>
      <c r="D29" s="537">
        <v>98818.785228300287</v>
      </c>
      <c r="E29" s="537">
        <v>103803.73840668501</v>
      </c>
      <c r="F29" s="537">
        <v>109814.16697697049</v>
      </c>
      <c r="G29" s="538">
        <v>116218.98406666092</v>
      </c>
      <c r="H29" s="538">
        <v>122186.31795099047</v>
      </c>
      <c r="I29" s="538">
        <v>128162.05711210116</v>
      </c>
      <c r="J29" s="538">
        <v>136276.97222362377</v>
      </c>
      <c r="K29" s="539">
        <v>144083.46450222269</v>
      </c>
      <c r="L29" s="538">
        <v>149847.48422572529</v>
      </c>
      <c r="M29" s="538">
        <v>156994.72425362578</v>
      </c>
      <c r="N29" s="540">
        <v>166960.628818664</v>
      </c>
      <c r="O29" s="538">
        <v>175770.642313358</v>
      </c>
      <c r="P29" s="538">
        <v>181185.40910668974</v>
      </c>
      <c r="Q29" s="538">
        <v>188168.24763785448</v>
      </c>
      <c r="R29" s="538">
        <v>198291.12763785449</v>
      </c>
      <c r="S29" s="539">
        <v>205799.38</v>
      </c>
      <c r="T29" s="538">
        <v>210481.74954092249</v>
      </c>
      <c r="U29" s="538">
        <v>217800.89039849999</v>
      </c>
      <c r="V29" s="540">
        <v>228276.19085757749</v>
      </c>
      <c r="W29" s="540">
        <f>+AVERAGE(Operational!V4:W4)</f>
        <v>236911.35</v>
      </c>
      <c r="X29" s="541"/>
      <c r="Y29" s="539">
        <v>50073.153890379945</v>
      </c>
      <c r="Z29" s="538">
        <v>68688.512163373598</v>
      </c>
      <c r="AA29" s="539">
        <v>86251.923386948853</v>
      </c>
      <c r="AB29" s="538">
        <v>104022.5250362307</v>
      </c>
      <c r="AC29" s="538">
        <v>127584.3688404031</v>
      </c>
      <c r="AD29" s="538">
        <v>157396.54212479567</v>
      </c>
      <c r="AE29" s="538">
        <v>188664.113206668</v>
      </c>
      <c r="AF29" s="540">
        <v>219359.43</v>
      </c>
    </row>
    <row r="30" spans="2:35" x14ac:dyDescent="0.25">
      <c r="B30" s="525" t="s">
        <v>84</v>
      </c>
      <c r="C30" s="542">
        <v>64156.800000000003</v>
      </c>
      <c r="D30" s="542">
        <v>66957.2</v>
      </c>
      <c r="E30" s="542">
        <v>70673.05</v>
      </c>
      <c r="F30" s="542">
        <v>76008.05</v>
      </c>
      <c r="G30" s="543">
        <v>81316.986744156195</v>
      </c>
      <c r="H30" s="543">
        <v>84310.65</v>
      </c>
      <c r="I30" s="543">
        <v>88456.749999999985</v>
      </c>
      <c r="J30" s="543">
        <v>94804.05358339136</v>
      </c>
      <c r="K30" s="544">
        <v>102352.70358339138</v>
      </c>
      <c r="L30" s="543">
        <v>108871.30000000002</v>
      </c>
      <c r="M30" s="543">
        <v>112794.95000000001</v>
      </c>
      <c r="N30" s="545">
        <v>118755.37845938656</v>
      </c>
      <c r="O30" s="543">
        <v>124353.97845938653</v>
      </c>
      <c r="P30" s="543">
        <v>124711.5</v>
      </c>
      <c r="Q30" s="543">
        <v>128941.6209333583</v>
      </c>
      <c r="R30" s="543">
        <v>175815.70223439171</v>
      </c>
      <c r="S30" s="544">
        <v>181166.77500000002</v>
      </c>
      <c r="T30" s="543">
        <v>184867.30100000004</v>
      </c>
      <c r="U30" s="543">
        <v>189930.10100000002</v>
      </c>
      <c r="V30" s="545">
        <v>198620.91100000002</v>
      </c>
      <c r="W30" s="545">
        <f>+AVERAGE(Liabilities!V10:W10)</f>
        <v>205687.37099999998</v>
      </c>
      <c r="X30" s="541"/>
      <c r="Y30" s="544">
        <v>29428.659419583557</v>
      </c>
      <c r="Z30" s="543">
        <v>45026.431692662911</v>
      </c>
      <c r="AA30" s="544">
        <v>58487.291516734353</v>
      </c>
      <c r="AB30" s="543">
        <v>71589.60098781118</v>
      </c>
      <c r="AC30" s="543">
        <v>89065.940327547549</v>
      </c>
      <c r="AD30" s="543">
        <v>110885.93204277792</v>
      </c>
      <c r="AE30" s="543">
        <v>167510.32500000001</v>
      </c>
      <c r="AF30" s="545">
        <v>191861.78600000002</v>
      </c>
    </row>
    <row r="31" spans="2:35" x14ac:dyDescent="0.25"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AE31" s="530"/>
      <c r="AF31" s="530"/>
    </row>
    <row r="32" spans="2:35" x14ac:dyDescent="0.25">
      <c r="K32" s="295"/>
      <c r="L32" s="295"/>
      <c r="M32" s="295"/>
      <c r="N32" s="295"/>
      <c r="O32" s="295"/>
      <c r="P32" s="295"/>
      <c r="Q32" s="383"/>
      <c r="R32" s="383"/>
      <c r="S32" s="383"/>
      <c r="T32" s="383"/>
      <c r="U32" s="383"/>
      <c r="V32" s="383"/>
      <c r="W32" s="383"/>
      <c r="AE32" s="209"/>
      <c r="AF32" s="209"/>
    </row>
    <row r="33" spans="13:32" x14ac:dyDescent="0.25"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91"/>
      <c r="Z33" s="201"/>
      <c r="AA33" s="201"/>
      <c r="AB33" s="201"/>
      <c r="AC33" s="201"/>
      <c r="AD33" s="201"/>
      <c r="AE33" s="201"/>
      <c r="AF33" s="201"/>
    </row>
    <row r="34" spans="13:32" x14ac:dyDescent="0.25"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91"/>
      <c r="AE34" s="201"/>
      <c r="AF34" s="201"/>
    </row>
    <row r="35" spans="13:32" x14ac:dyDescent="0.25">
      <c r="M35" s="201"/>
      <c r="O35" s="201"/>
      <c r="Q35" s="201"/>
      <c r="R35" s="201"/>
      <c r="S35" s="605"/>
      <c r="T35" s="201"/>
      <c r="U35" s="201"/>
      <c r="V35" s="605"/>
      <c r="W35" s="605"/>
    </row>
    <row r="36" spans="13:32" x14ac:dyDescent="0.25">
      <c r="O36" s="201"/>
      <c r="V36" s="606"/>
      <c r="W36" s="606"/>
      <c r="Z36" s="294"/>
    </row>
    <row r="39" spans="13:32" x14ac:dyDescent="0.25">
      <c r="V39" s="606"/>
      <c r="W39" s="606"/>
    </row>
    <row r="1048576" spans="24:24" x14ac:dyDescent="0.25">
      <c r="X1048576" s="451"/>
    </row>
  </sheetData>
  <hyperlinks>
    <hyperlink ref="A1" location="Index!A1" display="Index" xr:uid="{10621B45-851B-498E-BDBA-7F173885B463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J28"/>
  <sheetViews>
    <sheetView showGridLines="0" zoomScale="80" zoomScaleNormal="8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W3" sqref="W3"/>
    </sheetView>
  </sheetViews>
  <sheetFormatPr defaultColWidth="9.140625" defaultRowHeight="15" outlineLevelCol="1" x14ac:dyDescent="0.25"/>
  <cols>
    <col min="1" max="1" width="7.28515625" style="89" bestFit="1" customWidth="1"/>
    <col min="2" max="2" width="44.140625" style="235" bestFit="1" customWidth="1"/>
    <col min="3" max="6" width="13.7109375" style="235" hidden="1" customWidth="1" outlineLevel="1"/>
    <col min="7" max="10" width="9.85546875" style="236" hidden="1" customWidth="1" outlineLevel="1"/>
    <col min="11" max="11" width="9.85546875" style="236" bestFit="1" customWidth="1" collapsed="1"/>
    <col min="12" max="19" width="9.85546875" style="236" bestFit="1" customWidth="1"/>
    <col min="20" max="23" width="9.85546875" style="236" customWidth="1"/>
    <col min="24" max="24" width="5.5703125" style="308" bestFit="1" customWidth="1"/>
    <col min="25" max="26" width="9.85546875" style="237" hidden="1" customWidth="1" outlineLevel="1"/>
    <col min="27" max="27" width="11.140625" style="236" customWidth="1" collapsed="1"/>
    <col min="28" max="28" width="11.140625" style="236" customWidth="1"/>
    <col min="29" max="29" width="12" style="236" customWidth="1"/>
    <col min="30" max="30" width="9.85546875" style="236" bestFit="1" customWidth="1"/>
    <col min="31" max="31" width="10.140625" style="236" customWidth="1"/>
    <col min="32" max="32" width="10.140625" style="236" bestFit="1" customWidth="1"/>
    <col min="33" max="33" width="10.140625" style="301" bestFit="1" customWidth="1"/>
    <col min="34" max="34" width="9.140625" style="89"/>
    <col min="35" max="36" width="10.140625" style="89" bestFit="1" customWidth="1"/>
    <col min="37" max="16384" width="9.140625" style="89"/>
  </cols>
  <sheetData>
    <row r="1" spans="1:36" x14ac:dyDescent="0.25">
      <c r="A1" s="234" t="s">
        <v>0</v>
      </c>
    </row>
    <row r="3" spans="1:36" s="103" customFormat="1" x14ac:dyDescent="0.25">
      <c r="B3" s="111" t="s">
        <v>162</v>
      </c>
      <c r="C3" s="86" t="s">
        <v>178</v>
      </c>
      <c r="D3" s="86" t="s">
        <v>179</v>
      </c>
      <c r="E3" s="86" t="s">
        <v>180</v>
      </c>
      <c r="F3" s="86" t="s">
        <v>181</v>
      </c>
      <c r="G3" s="104" t="s">
        <v>108</v>
      </c>
      <c r="H3" s="104" t="s">
        <v>107</v>
      </c>
      <c r="I3" s="104" t="s">
        <v>106</v>
      </c>
      <c r="J3" s="104" t="s">
        <v>105</v>
      </c>
      <c r="K3" s="105" t="s">
        <v>1</v>
      </c>
      <c r="L3" s="104" t="s">
        <v>2</v>
      </c>
      <c r="M3" s="104" t="s">
        <v>3</v>
      </c>
      <c r="N3" s="497" t="s">
        <v>96</v>
      </c>
      <c r="O3" s="104" t="s">
        <v>97</v>
      </c>
      <c r="P3" s="104" t="s">
        <v>131</v>
      </c>
      <c r="Q3" s="85" t="s">
        <v>174</v>
      </c>
      <c r="R3" s="85" t="s">
        <v>238</v>
      </c>
      <c r="S3" s="108" t="s">
        <v>251</v>
      </c>
      <c r="T3" s="85" t="s">
        <v>271</v>
      </c>
      <c r="U3" s="85" t="str">
        <f>+'Yields, Margins &amp; Ratios'!U3</f>
        <v>Q3FY26</v>
      </c>
      <c r="V3" s="85" t="str">
        <f>+'Yields, Margins &amp; Ratios'!V3</f>
        <v>Q4FY26</v>
      </c>
      <c r="W3" s="1088" t="str">
        <f>+'Yields, Margins &amp; Ratios'!W3</f>
        <v>Q1FY27</v>
      </c>
      <c r="X3" s="309"/>
      <c r="Y3" s="105" t="s">
        <v>6</v>
      </c>
      <c r="Z3" s="104" t="s">
        <v>7</v>
      </c>
      <c r="AA3" s="571" t="s">
        <v>8</v>
      </c>
      <c r="AB3" s="572" t="s">
        <v>9</v>
      </c>
      <c r="AC3" s="572" t="s">
        <v>10</v>
      </c>
      <c r="AD3" s="572" t="s">
        <v>98</v>
      </c>
      <c r="AE3" s="572" t="s">
        <v>239</v>
      </c>
      <c r="AF3" s="573" t="s">
        <v>282</v>
      </c>
      <c r="AG3" s="302"/>
    </row>
    <row r="4" spans="1:36" x14ac:dyDescent="0.25">
      <c r="B4" s="88" t="s">
        <v>152</v>
      </c>
      <c r="C4" s="342"/>
      <c r="D4" s="342"/>
      <c r="E4" s="342"/>
      <c r="F4" s="342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1"/>
      <c r="W4" s="251"/>
      <c r="Y4" s="238"/>
      <c r="Z4" s="239"/>
      <c r="AA4" s="502"/>
      <c r="AB4" s="250"/>
      <c r="AC4" s="250"/>
      <c r="AD4" s="250"/>
      <c r="AE4" s="250"/>
      <c r="AF4" s="251"/>
    </row>
    <row r="5" spans="1:36" x14ac:dyDescent="0.25">
      <c r="B5" s="87" t="s">
        <v>118</v>
      </c>
      <c r="C5" s="301">
        <v>28066.6</v>
      </c>
      <c r="D5" s="301">
        <v>32502</v>
      </c>
      <c r="E5" s="301">
        <v>35390.700000000004</v>
      </c>
      <c r="F5" s="301">
        <v>38875.300000000003</v>
      </c>
      <c r="G5" s="240">
        <v>40624</v>
      </c>
      <c r="H5" s="240">
        <v>45879.6</v>
      </c>
      <c r="I5" s="240">
        <v>49235.4</v>
      </c>
      <c r="J5" s="240">
        <v>56305.200000000004</v>
      </c>
      <c r="K5" s="498">
        <v>62395.4</v>
      </c>
      <c r="L5" s="240">
        <v>69827.315846070007</v>
      </c>
      <c r="M5" s="240">
        <v>68101.3</v>
      </c>
      <c r="N5" s="242">
        <v>73889.600000000006</v>
      </c>
      <c r="O5" s="241">
        <v>75543.100000000006</v>
      </c>
      <c r="P5" s="241">
        <v>81790</v>
      </c>
      <c r="Q5" s="241">
        <v>86524.3</v>
      </c>
      <c r="R5" s="241">
        <v>91426.5</v>
      </c>
      <c r="S5" s="494">
        <v>88836.5</v>
      </c>
      <c r="T5" s="241">
        <v>93119.2</v>
      </c>
      <c r="U5" s="241">
        <v>99559.2</v>
      </c>
      <c r="V5" s="242">
        <v>106252</v>
      </c>
      <c r="W5" s="242">
        <v>112586.5</v>
      </c>
      <c r="Y5" s="243">
        <v>20417.2</v>
      </c>
      <c r="Z5" s="244">
        <v>29673</v>
      </c>
      <c r="AA5" s="494">
        <v>28218.9</v>
      </c>
      <c r="AB5" s="241">
        <v>38875.300000000003</v>
      </c>
      <c r="AC5" s="241">
        <v>56305.200000000004</v>
      </c>
      <c r="AD5" s="241">
        <v>73889.600000000006</v>
      </c>
      <c r="AE5" s="241">
        <v>91426.5</v>
      </c>
      <c r="AF5" s="242">
        <v>106252</v>
      </c>
      <c r="AJ5" s="460"/>
    </row>
    <row r="6" spans="1:36" x14ac:dyDescent="0.25">
      <c r="B6" s="79" t="s">
        <v>241</v>
      </c>
      <c r="C6" s="8">
        <v>19260.8</v>
      </c>
      <c r="D6" s="8">
        <v>20051.830998748403</v>
      </c>
      <c r="E6" s="8">
        <v>21805.788162304529</v>
      </c>
      <c r="F6" s="8">
        <v>23472.382224448014</v>
      </c>
      <c r="G6" s="240">
        <v>23575</v>
      </c>
      <c r="H6" s="240">
        <v>25186.252696940996</v>
      </c>
      <c r="I6" s="240">
        <v>25965.426776555109</v>
      </c>
      <c r="J6" s="240">
        <v>27566.399999999998</v>
      </c>
      <c r="K6" s="498">
        <v>28025.143004242993</v>
      </c>
      <c r="L6" s="240">
        <v>29281.599999999999</v>
      </c>
      <c r="M6" s="240">
        <v>35046.703686170957</v>
      </c>
      <c r="N6" s="242">
        <v>37170</v>
      </c>
      <c r="O6" s="241">
        <v>37870</v>
      </c>
      <c r="P6" s="241">
        <v>40510</v>
      </c>
      <c r="Q6" s="241">
        <v>42726.818468783385</v>
      </c>
      <c r="R6" s="241">
        <v>45235</v>
      </c>
      <c r="S6" s="494">
        <v>45332</v>
      </c>
      <c r="T6" s="241">
        <v>47037.9</v>
      </c>
      <c r="U6" s="241">
        <v>49090</v>
      </c>
      <c r="V6" s="242">
        <v>55764.2</v>
      </c>
      <c r="W6" s="242">
        <v>56564.7</v>
      </c>
      <c r="Y6" s="243">
        <v>13546.399999999998</v>
      </c>
      <c r="Z6" s="244">
        <v>17304.5</v>
      </c>
      <c r="AA6" s="494">
        <v>20052.900000000001</v>
      </c>
      <c r="AB6" s="241">
        <v>23472.400000000001</v>
      </c>
      <c r="AC6" s="241">
        <v>27566.399999999998</v>
      </c>
      <c r="AD6" s="241">
        <v>37170</v>
      </c>
      <c r="AE6" s="241">
        <v>45235</v>
      </c>
      <c r="AF6" s="242">
        <v>55764.2</v>
      </c>
    </row>
    <row r="7" spans="1:36" x14ac:dyDescent="0.25">
      <c r="B7" s="87" t="s">
        <v>120</v>
      </c>
      <c r="C7" s="301">
        <v>20278.947</v>
      </c>
      <c r="D7" s="301">
        <v>20330.097999999998</v>
      </c>
      <c r="E7" s="301">
        <v>21025.193000000003</v>
      </c>
      <c r="F7" s="301">
        <v>22067.5</v>
      </c>
      <c r="G7" s="240">
        <v>24021.199999999997</v>
      </c>
      <c r="H7" s="240">
        <v>22545</v>
      </c>
      <c r="I7" s="240">
        <v>25696.903000000002</v>
      </c>
      <c r="J7" s="240">
        <v>26028.699999999997</v>
      </c>
      <c r="K7" s="498">
        <v>28437.3</v>
      </c>
      <c r="L7" s="240">
        <v>25717.910000000003</v>
      </c>
      <c r="M7" s="240">
        <v>27271.388000000003</v>
      </c>
      <c r="N7" s="242">
        <v>30415.8</v>
      </c>
      <c r="O7" s="241">
        <v>30989.425282051285</v>
      </c>
      <c r="P7" s="241">
        <v>29151.468999999994</v>
      </c>
      <c r="Q7" s="241">
        <v>27351.936000000009</v>
      </c>
      <c r="R7" s="241">
        <v>25767.85</v>
      </c>
      <c r="S7" s="494">
        <v>26108.2</v>
      </c>
      <c r="T7" s="241">
        <v>25295.170000000002</v>
      </c>
      <c r="U7" s="241">
        <v>23445.299999999996</v>
      </c>
      <c r="V7" s="242">
        <v>21859.489999999998</v>
      </c>
      <c r="W7" s="242">
        <v>20188.02</v>
      </c>
      <c r="Y7" s="243">
        <v>8972.2000000000007</v>
      </c>
      <c r="Z7" s="244">
        <v>9512.9</v>
      </c>
      <c r="AA7" s="494">
        <v>18723.900000000001</v>
      </c>
      <c r="AB7" s="241">
        <v>22067.5</v>
      </c>
      <c r="AC7" s="241">
        <v>26028.699999999997</v>
      </c>
      <c r="AD7" s="241">
        <v>30415.8</v>
      </c>
      <c r="AE7" s="241">
        <v>25767.85</v>
      </c>
      <c r="AF7" s="242">
        <v>21859.489999999998</v>
      </c>
    </row>
    <row r="8" spans="1:36" x14ac:dyDescent="0.25">
      <c r="B8" s="79" t="s">
        <v>237</v>
      </c>
      <c r="C8" s="301">
        <v>15594</v>
      </c>
      <c r="D8" s="301">
        <v>15544</v>
      </c>
      <c r="E8" s="301">
        <v>13984</v>
      </c>
      <c r="F8" s="301">
        <v>18192.2</v>
      </c>
      <c r="G8" s="240">
        <v>16542.2</v>
      </c>
      <c r="H8" s="240">
        <v>16100.3</v>
      </c>
      <c r="I8" s="240">
        <v>15750.3</v>
      </c>
      <c r="J8" s="240">
        <v>15308.5</v>
      </c>
      <c r="K8" s="498">
        <v>14958.461538461539</v>
      </c>
      <c r="L8" s="240">
        <v>16016.6</v>
      </c>
      <c r="M8" s="240">
        <v>14591.615384615383</v>
      </c>
      <c r="N8" s="242">
        <v>14074.8</v>
      </c>
      <c r="O8" s="241">
        <v>13649.8</v>
      </c>
      <c r="P8" s="241">
        <v>9680</v>
      </c>
      <c r="Q8" s="241">
        <v>15557.9</v>
      </c>
      <c r="R8" s="241">
        <v>17041.099999999999</v>
      </c>
      <c r="S8" s="494">
        <v>20616.100000000002</v>
      </c>
      <c r="T8" s="241">
        <v>19549.2</v>
      </c>
      <c r="U8" s="241">
        <v>19024.2</v>
      </c>
      <c r="V8" s="242">
        <v>18507.400000000001</v>
      </c>
      <c r="W8" s="242">
        <v>17782.400000000001</v>
      </c>
      <c r="Y8" s="243">
        <v>5400</v>
      </c>
      <c r="Z8" s="244">
        <v>12794</v>
      </c>
      <c r="AA8" s="494">
        <v>15744</v>
      </c>
      <c r="AB8" s="241">
        <v>18192.2</v>
      </c>
      <c r="AC8" s="241">
        <v>15308.5</v>
      </c>
      <c r="AD8" s="241">
        <v>14074.8</v>
      </c>
      <c r="AE8" s="241">
        <v>17041.099999999999</v>
      </c>
      <c r="AF8" s="242">
        <v>18507.400000000001</v>
      </c>
    </row>
    <row r="9" spans="1:36" x14ac:dyDescent="0.25">
      <c r="B9" s="92" t="s">
        <v>122</v>
      </c>
      <c r="C9" s="446">
        <v>0</v>
      </c>
      <c r="D9" s="446">
        <v>0</v>
      </c>
      <c r="E9" s="446">
        <v>0</v>
      </c>
      <c r="F9" s="446">
        <v>0</v>
      </c>
      <c r="G9" s="447">
        <v>0</v>
      </c>
      <c r="H9" s="447">
        <v>0</v>
      </c>
      <c r="I9" s="447">
        <v>0</v>
      </c>
      <c r="J9" s="447">
        <v>0</v>
      </c>
      <c r="K9" s="499">
        <v>0</v>
      </c>
      <c r="L9" s="447">
        <v>0</v>
      </c>
      <c r="M9" s="447">
        <v>0</v>
      </c>
      <c r="N9" s="449">
        <v>0</v>
      </c>
      <c r="O9" s="448">
        <v>0</v>
      </c>
      <c r="P9" s="448">
        <v>0</v>
      </c>
      <c r="Q9" s="448">
        <v>0</v>
      </c>
      <c r="R9" s="448">
        <v>0</v>
      </c>
      <c r="S9" s="495">
        <v>1970.3</v>
      </c>
      <c r="T9" s="448">
        <v>1870.0319999999999</v>
      </c>
      <c r="U9" s="448">
        <v>1870</v>
      </c>
      <c r="V9" s="449">
        <v>1870.0319999999999</v>
      </c>
      <c r="W9" s="449">
        <v>0</v>
      </c>
      <c r="Y9" s="243">
        <v>0</v>
      </c>
      <c r="Z9" s="244">
        <v>245.7</v>
      </c>
      <c r="AA9" s="494">
        <v>0</v>
      </c>
      <c r="AB9" s="241">
        <v>0</v>
      </c>
      <c r="AC9" s="241">
        <v>0</v>
      </c>
      <c r="AD9" s="241">
        <v>0</v>
      </c>
      <c r="AE9" s="241">
        <v>0</v>
      </c>
      <c r="AF9" s="242">
        <v>1870.0319999999999</v>
      </c>
    </row>
    <row r="10" spans="1:36" x14ac:dyDescent="0.25">
      <c r="B10" s="155" t="s">
        <v>171</v>
      </c>
      <c r="C10" s="245">
        <v>83200.346999999994</v>
      </c>
      <c r="D10" s="245">
        <v>88427.928998748393</v>
      </c>
      <c r="E10" s="245">
        <v>92205.681162304536</v>
      </c>
      <c r="F10" s="245">
        <v>102607.38222444801</v>
      </c>
      <c r="G10" s="245">
        <v>104762.4</v>
      </c>
      <c r="H10" s="245">
        <v>109711.152696941</v>
      </c>
      <c r="I10" s="245">
        <v>116648.02977655512</v>
      </c>
      <c r="J10" s="245">
        <v>125208.8</v>
      </c>
      <c r="K10" s="496">
        <v>133816.30454270454</v>
      </c>
      <c r="L10" s="245">
        <v>140843.42584607002</v>
      </c>
      <c r="M10" s="245">
        <v>145011.00707078635</v>
      </c>
      <c r="N10" s="313">
        <v>155550.19999999998</v>
      </c>
      <c r="O10" s="245">
        <v>158052.32528205129</v>
      </c>
      <c r="P10" s="245">
        <v>161131.46899999998</v>
      </c>
      <c r="Q10" s="245">
        <v>172160.9544687834</v>
      </c>
      <c r="R10" s="245">
        <v>179470.45</v>
      </c>
      <c r="S10" s="496">
        <v>182863.1</v>
      </c>
      <c r="T10" s="245">
        <f>SUM(T5:T9)</f>
        <v>186871.50200000004</v>
      </c>
      <c r="U10" s="245">
        <f>SUM(U5:U9)</f>
        <v>192988.7</v>
      </c>
      <c r="V10" s="313">
        <f>SUM(V5:V9)</f>
        <v>204253.122</v>
      </c>
      <c r="W10" s="313">
        <f>SUM(W5:W9)</f>
        <v>207121.62</v>
      </c>
      <c r="Y10" s="246">
        <v>48335.8</v>
      </c>
      <c r="Z10" s="247">
        <v>69530.099999999991</v>
      </c>
      <c r="AA10" s="496">
        <v>82739.700000000012</v>
      </c>
      <c r="AB10" s="245">
        <v>102607.40000000001</v>
      </c>
      <c r="AC10" s="245">
        <v>125208.8</v>
      </c>
      <c r="AD10" s="245">
        <v>155550.19999999998</v>
      </c>
      <c r="AE10" s="245">
        <v>179470.45</v>
      </c>
      <c r="AF10" s="313">
        <f>SUM(AF5:AF9)</f>
        <v>204253.122</v>
      </c>
      <c r="AG10" s="303"/>
    </row>
    <row r="11" spans="1:36" s="281" customFormat="1" x14ac:dyDescent="0.25">
      <c r="B11" s="289" t="s">
        <v>173</v>
      </c>
      <c r="C11" s="355">
        <v>127</v>
      </c>
      <c r="D11" s="355">
        <v>124.9</v>
      </c>
      <c r="E11" s="355">
        <v>126.7</v>
      </c>
      <c r="F11" s="355">
        <v>125.9</v>
      </c>
      <c r="G11" s="282">
        <v>127.2</v>
      </c>
      <c r="H11" s="282">
        <v>127</v>
      </c>
      <c r="I11" s="282">
        <v>127</v>
      </c>
      <c r="J11" s="282">
        <v>128</v>
      </c>
      <c r="K11" s="284">
        <v>125.20743671967718</v>
      </c>
      <c r="L11" s="282">
        <v>129.98665284656911</v>
      </c>
      <c r="M11" s="282">
        <v>130.0096721969924</v>
      </c>
      <c r="N11" s="283">
        <v>132.17824873051885</v>
      </c>
      <c r="O11" s="282">
        <v>131</v>
      </c>
      <c r="P11" s="282">
        <v>136.08599616387255</v>
      </c>
      <c r="Q11" s="282">
        <v>130</v>
      </c>
      <c r="R11" s="282">
        <v>130</v>
      </c>
      <c r="S11" s="284">
        <v>126</v>
      </c>
      <c r="T11" s="282">
        <v>126</v>
      </c>
      <c r="U11" s="282">
        <v>126</v>
      </c>
      <c r="V11" s="283">
        <v>130</v>
      </c>
      <c r="W11" s="283">
        <v>130</v>
      </c>
      <c r="X11" s="320"/>
      <c r="Y11" s="284">
        <v>143</v>
      </c>
      <c r="Z11" s="282">
        <v>134</v>
      </c>
      <c r="AA11" s="284">
        <v>130</v>
      </c>
      <c r="AB11" s="282">
        <v>125.9</v>
      </c>
      <c r="AC11" s="282">
        <v>128</v>
      </c>
      <c r="AD11" s="282">
        <v>132.17824873051885</v>
      </c>
      <c r="AE11" s="282">
        <v>130</v>
      </c>
      <c r="AF11" s="283">
        <v>130</v>
      </c>
      <c r="AG11" s="304"/>
    </row>
    <row r="12" spans="1:36" s="285" customFormat="1" x14ac:dyDescent="0.25">
      <c r="B12" s="307" t="s">
        <v>172</v>
      </c>
      <c r="C12" s="354">
        <v>0</v>
      </c>
      <c r="D12" s="354">
        <v>1749</v>
      </c>
      <c r="E12" s="354">
        <v>2981</v>
      </c>
      <c r="F12" s="354">
        <v>3054</v>
      </c>
      <c r="G12" s="286">
        <v>1424</v>
      </c>
      <c r="H12" s="286">
        <v>2967</v>
      </c>
      <c r="I12" s="286">
        <v>2234</v>
      </c>
      <c r="J12" s="286">
        <v>2916</v>
      </c>
      <c r="K12" s="288">
        <v>2001</v>
      </c>
      <c r="L12" s="286">
        <v>3284</v>
      </c>
      <c r="M12" s="286">
        <v>3173</v>
      </c>
      <c r="N12" s="287">
        <v>3970</v>
      </c>
      <c r="O12" s="286">
        <v>2303</v>
      </c>
      <c r="P12" s="286">
        <v>4343.7</v>
      </c>
      <c r="Q12" s="286">
        <v>4043.5288961700003</v>
      </c>
      <c r="R12" s="286">
        <v>4535.7</v>
      </c>
      <c r="S12" s="288">
        <v>3390</v>
      </c>
      <c r="T12" s="286">
        <v>4279.3999999999996</v>
      </c>
      <c r="U12" s="286">
        <v>4411.3</v>
      </c>
      <c r="V12" s="287">
        <v>4690.3221120999997</v>
      </c>
      <c r="W12" s="287">
        <v>3987.5623397999998</v>
      </c>
      <c r="X12" s="310"/>
      <c r="Y12" s="288">
        <v>6802</v>
      </c>
      <c r="Z12" s="286">
        <v>6647</v>
      </c>
      <c r="AA12" s="288">
        <v>5496</v>
      </c>
      <c r="AB12" s="286">
        <v>7784</v>
      </c>
      <c r="AC12" s="286">
        <v>9541</v>
      </c>
      <c r="AD12" s="286">
        <v>12428</v>
      </c>
      <c r="AE12" s="286">
        <v>15225.92889617</v>
      </c>
      <c r="AF12" s="287">
        <v>16771</v>
      </c>
      <c r="AG12" s="305"/>
    </row>
    <row r="13" spans="1:36" x14ac:dyDescent="0.25">
      <c r="B13" s="90"/>
      <c r="C13" s="90"/>
      <c r="D13" s="90"/>
      <c r="E13" s="90"/>
      <c r="F13" s="90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Y13" s="249"/>
      <c r="Z13" s="249"/>
      <c r="AA13" s="248"/>
      <c r="AB13" s="248"/>
      <c r="AC13" s="248"/>
      <c r="AD13" s="248"/>
      <c r="AE13" s="248"/>
      <c r="AF13" s="248"/>
    </row>
    <row r="14" spans="1:36" x14ac:dyDescent="0.25">
      <c r="B14" s="88" t="s">
        <v>153</v>
      </c>
      <c r="C14" s="342"/>
      <c r="D14" s="342"/>
      <c r="E14" s="342"/>
      <c r="F14" s="342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1"/>
      <c r="W14" s="251"/>
      <c r="Y14" s="252"/>
      <c r="Z14" s="253"/>
      <c r="AA14" s="502"/>
      <c r="AB14" s="250"/>
      <c r="AC14" s="250"/>
      <c r="AD14" s="250"/>
      <c r="AE14" s="250"/>
      <c r="AF14" s="251"/>
    </row>
    <row r="15" spans="1:36" s="255" customFormat="1" x14ac:dyDescent="0.25">
      <c r="B15" s="91" t="s">
        <v>118</v>
      </c>
      <c r="C15" s="351">
        <v>0.33700000000000002</v>
      </c>
      <c r="D15" s="351">
        <v>0.36799999999999999</v>
      </c>
      <c r="E15" s="351">
        <v>0.38400000000000001</v>
      </c>
      <c r="F15" s="351">
        <v>0.379</v>
      </c>
      <c r="G15" s="256">
        <v>0.38777271234717803</v>
      </c>
      <c r="H15" s="256">
        <v>0.41818537926344496</v>
      </c>
      <c r="I15" s="256">
        <v>0.42208514018035936</v>
      </c>
      <c r="J15" s="256">
        <v>0.4496904370938784</v>
      </c>
      <c r="K15" s="500">
        <v>0.46627651401095055</v>
      </c>
      <c r="L15" s="256">
        <v>0.49577973147561299</v>
      </c>
      <c r="M15" s="256">
        <v>0.46962848804130236</v>
      </c>
      <c r="N15" s="257">
        <v>0.47502092572044274</v>
      </c>
      <c r="O15" s="256">
        <v>0.4779625979256556</v>
      </c>
      <c r="P15" s="256">
        <v>0.50759792924124592</v>
      </c>
      <c r="Q15" s="256">
        <v>0.50257795251529447</v>
      </c>
      <c r="R15" s="256">
        <v>0.50942369621294203</v>
      </c>
      <c r="S15" s="500">
        <v>0.48580878263575317</v>
      </c>
      <c r="T15" s="256">
        <v>0.49830604989732452</v>
      </c>
      <c r="U15" s="256">
        <v>0.51588098163260332</v>
      </c>
      <c r="V15" s="257">
        <v>0.52019767903474201</v>
      </c>
      <c r="W15" s="257">
        <f>+W5/$W$10</f>
        <v>0.54357676422190981</v>
      </c>
      <c r="X15" s="311"/>
      <c r="Y15" s="258">
        <v>0.42240327045378373</v>
      </c>
      <c r="Z15" s="259">
        <v>0.42676481121125964</v>
      </c>
      <c r="AA15" s="574">
        <v>0.34105634900779186</v>
      </c>
      <c r="AB15" s="575">
        <v>0.37887423324243669</v>
      </c>
      <c r="AC15" s="575">
        <v>0.4496904370938784</v>
      </c>
      <c r="AD15" s="256">
        <v>0.47502092572044274</v>
      </c>
      <c r="AE15" s="256">
        <v>0.50942369621294203</v>
      </c>
      <c r="AF15" s="257">
        <v>0.52019767903474201</v>
      </c>
      <c r="AG15" s="306"/>
    </row>
    <row r="16" spans="1:36" s="255" customFormat="1" x14ac:dyDescent="0.25">
      <c r="B16" s="87" t="s">
        <v>119</v>
      </c>
      <c r="C16" s="352">
        <v>0.23100000000000001</v>
      </c>
      <c r="D16" s="352">
        <v>0.22700000000000001</v>
      </c>
      <c r="E16" s="352">
        <v>0.23599999999999999</v>
      </c>
      <c r="F16" s="352">
        <v>0.22900000000000001</v>
      </c>
      <c r="G16" s="260">
        <v>0.22503302711659909</v>
      </c>
      <c r="H16" s="260">
        <v>0.22956875465991933</v>
      </c>
      <c r="I16" s="260">
        <v>0.22259635954669038</v>
      </c>
      <c r="J16" s="260">
        <v>0.22016343899150856</v>
      </c>
      <c r="K16" s="501">
        <v>0.20942995773208922</v>
      </c>
      <c r="L16" s="260">
        <v>0.20790178756374697</v>
      </c>
      <c r="M16" s="260">
        <v>0.2416830583699284</v>
      </c>
      <c r="N16" s="261">
        <v>0.23895822699038641</v>
      </c>
      <c r="O16" s="260">
        <v>0.23960419394285612</v>
      </c>
      <c r="P16" s="260">
        <v>0.25140961136523871</v>
      </c>
      <c r="Q16" s="260">
        <v>0.248179493431716</v>
      </c>
      <c r="R16" s="260">
        <v>0.25204706401527383</v>
      </c>
      <c r="S16" s="501">
        <v>0.24790129884049869</v>
      </c>
      <c r="T16" s="260">
        <v>0.25171253774157598</v>
      </c>
      <c r="U16" s="260">
        <v>0.25436722460952377</v>
      </c>
      <c r="V16" s="261">
        <v>0.27301516595667996</v>
      </c>
      <c r="W16" s="261">
        <f t="shared" ref="W16:W20" si="0">+W6/$W$10</f>
        <v>0.27309896475317252</v>
      </c>
      <c r="X16" s="311"/>
      <c r="Y16" s="262">
        <v>0.28025604210543731</v>
      </c>
      <c r="Z16" s="263">
        <v>0.24887782413659698</v>
      </c>
      <c r="AA16" s="576">
        <v>0.24236128484874853</v>
      </c>
      <c r="AB16" s="577">
        <v>0.22875932924915746</v>
      </c>
      <c r="AC16" s="577">
        <v>0.22016343899150856</v>
      </c>
      <c r="AD16" s="260">
        <v>0.23895822699038641</v>
      </c>
      <c r="AE16" s="260">
        <v>0.25204706401527383</v>
      </c>
      <c r="AF16" s="261">
        <v>0.27301516595667996</v>
      </c>
      <c r="AG16" s="306"/>
    </row>
    <row r="17" spans="2:33" s="255" customFormat="1" x14ac:dyDescent="0.25">
      <c r="B17" s="87" t="s">
        <v>120</v>
      </c>
      <c r="C17" s="352">
        <v>0.24399999999999999</v>
      </c>
      <c r="D17" s="352">
        <v>0.23</v>
      </c>
      <c r="E17" s="352">
        <v>0.22800000000000001</v>
      </c>
      <c r="F17" s="352">
        <v>0.215</v>
      </c>
      <c r="G17" s="260">
        <v>0.22929218880056201</v>
      </c>
      <c r="H17" s="260">
        <v>0.20549414937127541</v>
      </c>
      <c r="I17" s="260">
        <v>0.22029435944373554</v>
      </c>
      <c r="J17" s="260">
        <v>0.20788235331701924</v>
      </c>
      <c r="K17" s="501">
        <v>0.21250997849013875</v>
      </c>
      <c r="L17" s="260">
        <v>0.18259929311935019</v>
      </c>
      <c r="M17" s="260">
        <v>0.18806426181626074</v>
      </c>
      <c r="N17" s="261">
        <v>0.1955368749124077</v>
      </c>
      <c r="O17" s="260">
        <v>0.19607066980349261</v>
      </c>
      <c r="P17" s="260">
        <v>0.18091729182956803</v>
      </c>
      <c r="Q17" s="260">
        <v>0.15887421212548819</v>
      </c>
      <c r="R17" s="260">
        <v>0.143577118127246</v>
      </c>
      <c r="S17" s="501">
        <v>0.14277456742229569</v>
      </c>
      <c r="T17" s="260">
        <v>0.13536130297705851</v>
      </c>
      <c r="U17" s="260">
        <v>0.12148535121486384</v>
      </c>
      <c r="V17" s="261">
        <v>0.10702157100932831</v>
      </c>
      <c r="W17" s="261">
        <f t="shared" si="0"/>
        <v>9.7469399862747316E-2</v>
      </c>
      <c r="X17" s="311"/>
      <c r="Y17" s="262">
        <v>0.18562225100236265</v>
      </c>
      <c r="Z17" s="263">
        <v>0.13681700443405087</v>
      </c>
      <c r="AA17" s="576">
        <v>0.22629886257745677</v>
      </c>
      <c r="AB17" s="577">
        <v>0.21506733432481476</v>
      </c>
      <c r="AC17" s="577">
        <v>0.20788235331701924</v>
      </c>
      <c r="AD17" s="260">
        <v>0.1955368749124077</v>
      </c>
      <c r="AE17" s="260">
        <v>0.143577118127246</v>
      </c>
      <c r="AF17" s="261">
        <v>0.10702157100932831</v>
      </c>
      <c r="AG17" s="306"/>
    </row>
    <row r="18" spans="2:33" s="255" customFormat="1" x14ac:dyDescent="0.25">
      <c r="B18" s="87" t="s">
        <v>121</v>
      </c>
      <c r="C18" s="352">
        <v>0.187</v>
      </c>
      <c r="D18" s="352">
        <v>0.17599999999999999</v>
      </c>
      <c r="E18" s="352">
        <v>0.152</v>
      </c>
      <c r="F18" s="352">
        <v>0.17699999999999999</v>
      </c>
      <c r="G18" s="260">
        <v>0.1579020717356609</v>
      </c>
      <c r="H18" s="260">
        <v>0.14675171670536019</v>
      </c>
      <c r="I18" s="260">
        <v>0.13502414082921463</v>
      </c>
      <c r="J18" s="260">
        <v>0.12226377059759377</v>
      </c>
      <c r="K18" s="501">
        <v>0.11178354976682138</v>
      </c>
      <c r="L18" s="260">
        <v>0.11371918784128975</v>
      </c>
      <c r="M18" s="260">
        <v>0.10062419177250843</v>
      </c>
      <c r="N18" s="261">
        <v>9.0483972376763269E-2</v>
      </c>
      <c r="O18" s="260">
        <v>8.6362538327995703E-2</v>
      </c>
      <c r="P18" s="260">
        <v>6.0075167563947429E-2</v>
      </c>
      <c r="Q18" s="260">
        <v>9.0368341927501289E-2</v>
      </c>
      <c r="R18" s="260">
        <v>9.4952121644538132E-2</v>
      </c>
      <c r="S18" s="501">
        <v>0.11274062399685886</v>
      </c>
      <c r="T18" s="260">
        <v>0.10461306186750721</v>
      </c>
      <c r="U18" s="260">
        <v>9.8576756048411124E-2</v>
      </c>
      <c r="V18" s="261">
        <v>9.0610120515073458E-2</v>
      </c>
      <c r="W18" s="261">
        <f t="shared" si="0"/>
        <v>8.5854871162170332E-2</v>
      </c>
      <c r="X18" s="311"/>
      <c r="Y18" s="262">
        <v>0.11171843643841624</v>
      </c>
      <c r="Z18" s="263">
        <v>0.18400663885137519</v>
      </c>
      <c r="AA18" s="576">
        <v>0.19028350356600274</v>
      </c>
      <c r="AB18" s="577">
        <v>0.17729910318359104</v>
      </c>
      <c r="AC18" s="577">
        <v>0.12226377059759377</v>
      </c>
      <c r="AD18" s="260">
        <v>9.0483972376763269E-2</v>
      </c>
      <c r="AE18" s="260">
        <v>9.4952121644538132E-2</v>
      </c>
      <c r="AF18" s="261">
        <v>9.0610120515073458E-2</v>
      </c>
      <c r="AG18" s="306"/>
    </row>
    <row r="19" spans="2:33" x14ac:dyDescent="0.25">
      <c r="B19" s="87" t="s">
        <v>122</v>
      </c>
      <c r="C19" s="352"/>
      <c r="D19" s="352"/>
      <c r="E19" s="352"/>
      <c r="F19" s="352"/>
      <c r="G19" s="240">
        <v>0</v>
      </c>
      <c r="H19" s="240">
        <v>0</v>
      </c>
      <c r="I19" s="240">
        <v>0</v>
      </c>
      <c r="J19" s="240">
        <v>0</v>
      </c>
      <c r="K19" s="498">
        <v>0</v>
      </c>
      <c r="L19" s="240">
        <v>0</v>
      </c>
      <c r="M19" s="240">
        <v>0</v>
      </c>
      <c r="N19" s="264">
        <v>0</v>
      </c>
      <c r="O19" s="240">
        <v>0</v>
      </c>
      <c r="P19" s="240">
        <v>0</v>
      </c>
      <c r="Q19" s="240">
        <v>0</v>
      </c>
      <c r="R19" s="240">
        <v>0</v>
      </c>
      <c r="S19" s="501">
        <v>1.0774727104593545E-2</v>
      </c>
      <c r="T19" s="260">
        <v>1.0007047516533578E-2</v>
      </c>
      <c r="U19" s="260">
        <v>9.689686494597869E-3</v>
      </c>
      <c r="V19" s="261">
        <v>9.1554634841762659E-3</v>
      </c>
      <c r="W19" s="1096">
        <f t="shared" si="0"/>
        <v>0</v>
      </c>
      <c r="Y19" s="243">
        <v>0</v>
      </c>
      <c r="Z19" s="263">
        <v>3.5337213667174364E-3</v>
      </c>
      <c r="AA19" s="494">
        <v>0</v>
      </c>
      <c r="AB19" s="241">
        <v>0</v>
      </c>
      <c r="AC19" s="241">
        <v>0</v>
      </c>
      <c r="AD19" s="240">
        <v>0</v>
      </c>
      <c r="AE19" s="240">
        <v>0</v>
      </c>
      <c r="AF19" s="261">
        <v>9.1554634841762659E-3</v>
      </c>
    </row>
    <row r="20" spans="2:33" x14ac:dyDescent="0.25">
      <c r="B20" s="88" t="s">
        <v>85</v>
      </c>
      <c r="C20" s="353">
        <v>0.99900000000000011</v>
      </c>
      <c r="D20" s="353">
        <v>1.0009999999999999</v>
      </c>
      <c r="E20" s="353">
        <v>1</v>
      </c>
      <c r="F20" s="353">
        <v>1</v>
      </c>
      <c r="G20" s="265">
        <v>1</v>
      </c>
      <c r="H20" s="265">
        <v>1</v>
      </c>
      <c r="I20" s="265">
        <v>1</v>
      </c>
      <c r="J20" s="265">
        <v>0.99999999999999989</v>
      </c>
      <c r="K20" s="375">
        <v>0.99999999999999989</v>
      </c>
      <c r="L20" s="265">
        <v>0.99999999999999989</v>
      </c>
      <c r="M20" s="265">
        <v>0.99999999999999989</v>
      </c>
      <c r="N20" s="266">
        <v>1</v>
      </c>
      <c r="O20" s="265">
        <v>1</v>
      </c>
      <c r="P20" s="265">
        <v>1.0000000000000002</v>
      </c>
      <c r="Q20" s="265">
        <v>1</v>
      </c>
      <c r="R20" s="265">
        <v>1</v>
      </c>
      <c r="S20" s="375">
        <v>1</v>
      </c>
      <c r="T20" s="265">
        <f t="shared" ref="T20:U20" si="1">+T10/T$10</f>
        <v>1</v>
      </c>
      <c r="U20" s="265">
        <f t="shared" si="1"/>
        <v>1</v>
      </c>
      <c r="V20" s="266">
        <f t="shared" ref="V20" si="2">+V10/V$10</f>
        <v>1</v>
      </c>
      <c r="W20" s="266">
        <f t="shared" si="0"/>
        <v>1</v>
      </c>
      <c r="X20" s="312"/>
      <c r="Y20" s="375">
        <v>1</v>
      </c>
      <c r="Z20" s="265">
        <v>1.0000000000000002</v>
      </c>
      <c r="AA20" s="375">
        <v>1</v>
      </c>
      <c r="AB20" s="265">
        <v>1</v>
      </c>
      <c r="AC20" s="265">
        <v>0.99999999999999989</v>
      </c>
      <c r="AD20" s="265">
        <v>1</v>
      </c>
      <c r="AE20" s="265">
        <v>1</v>
      </c>
      <c r="AF20" s="266">
        <v>1</v>
      </c>
    </row>
    <row r="21" spans="2:33" x14ac:dyDescent="0.25">
      <c r="B21" s="90"/>
      <c r="C21" s="90"/>
      <c r="D21" s="90"/>
      <c r="E21" s="90"/>
      <c r="F21" s="90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312"/>
      <c r="Y21" s="269"/>
      <c r="Z21" s="269"/>
      <c r="AA21" s="578"/>
      <c r="AB21" s="578"/>
      <c r="AC21" s="578"/>
      <c r="AD21" s="578"/>
      <c r="AE21" s="578"/>
      <c r="AF21" s="268"/>
    </row>
    <row r="22" spans="2:33" x14ac:dyDescent="0.25">
      <c r="B22" s="88" t="s">
        <v>136</v>
      </c>
      <c r="C22" s="342"/>
      <c r="D22" s="342"/>
      <c r="E22" s="342"/>
      <c r="F22" s="342"/>
      <c r="G22" s="250"/>
      <c r="H22" s="250"/>
      <c r="I22" s="250"/>
      <c r="J22" s="250"/>
      <c r="K22" s="502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1"/>
      <c r="W22" s="251"/>
      <c r="X22" s="312"/>
      <c r="Y22" s="252"/>
      <c r="Z22" s="253"/>
      <c r="AA22" s="502"/>
      <c r="AB22" s="250"/>
      <c r="AC22" s="250"/>
      <c r="AD22" s="250"/>
      <c r="AE22" s="250"/>
      <c r="AF22" s="251"/>
    </row>
    <row r="23" spans="2:33" s="308" customFormat="1" x14ac:dyDescent="0.25">
      <c r="B23" s="314" t="s">
        <v>135</v>
      </c>
      <c r="C23" s="348">
        <v>0.41091061841404364</v>
      </c>
      <c r="D23" s="348">
        <v>0.42618618952496795</v>
      </c>
      <c r="E23" s="348">
        <v>0.43165652717039116</v>
      </c>
      <c r="F23" s="348">
        <v>0.43775908385103268</v>
      </c>
      <c r="G23" s="270">
        <v>0.33081938827230795</v>
      </c>
      <c r="H23" s="270">
        <v>0.29912273450131216</v>
      </c>
      <c r="I23" s="270">
        <v>0.30607289354471251</v>
      </c>
      <c r="J23" s="316">
        <v>0.28498750089849773</v>
      </c>
      <c r="K23" s="503">
        <v>0.30952950319842171</v>
      </c>
      <c r="L23" s="270">
        <v>0.27</v>
      </c>
      <c r="M23" s="270">
        <v>0.26765650219727555</v>
      </c>
      <c r="N23" s="271">
        <v>0.2674358502914172</v>
      </c>
      <c r="O23" s="270">
        <v>0.27</v>
      </c>
      <c r="P23" s="270">
        <v>0.24052439698090167</v>
      </c>
      <c r="Q23" s="270">
        <v>0.22511143783782411</v>
      </c>
      <c r="R23" s="270">
        <v>0.19120217515244139</v>
      </c>
      <c r="S23" s="505">
        <v>0.21165341722851685</v>
      </c>
      <c r="T23" s="270">
        <v>0.21045424036887123</v>
      </c>
      <c r="U23" s="270">
        <v>0.19977426426684841</v>
      </c>
      <c r="V23" s="271">
        <v>0.17856128534475962</v>
      </c>
      <c r="W23" s="271">
        <v>0.15590444816610979</v>
      </c>
      <c r="X23" s="312"/>
      <c r="Y23" s="272">
        <v>0.32865081368261206</v>
      </c>
      <c r="Z23" s="273">
        <v>0.32935423558176324</v>
      </c>
      <c r="AA23" s="505">
        <v>0.36616928290685474</v>
      </c>
      <c r="AB23" s="270">
        <v>0.32430117126055236</v>
      </c>
      <c r="AC23" s="270">
        <v>0.28498635878628342</v>
      </c>
      <c r="AD23" s="270">
        <v>0.2674358502914172</v>
      </c>
      <c r="AE23" s="270">
        <v>0.19120217515244139</v>
      </c>
      <c r="AF23" s="271">
        <v>0.17856128534475962</v>
      </c>
      <c r="AG23" s="301"/>
    </row>
    <row r="24" spans="2:33" s="308" customFormat="1" x14ac:dyDescent="0.25">
      <c r="B24" s="315" t="s">
        <v>151</v>
      </c>
      <c r="C24" s="349">
        <v>0.58908938158595636</v>
      </c>
      <c r="D24" s="349">
        <v>0.5738138104750321</v>
      </c>
      <c r="E24" s="349">
        <v>0.56834347282960884</v>
      </c>
      <c r="F24" s="349">
        <v>0.56224091614896732</v>
      </c>
      <c r="G24" s="274">
        <v>0.66918061172769217</v>
      </c>
      <c r="H24" s="274">
        <v>0.7008772654986879</v>
      </c>
      <c r="I24" s="274">
        <v>0.69392710645528743</v>
      </c>
      <c r="J24" s="317">
        <v>0.71501249910150233</v>
      </c>
      <c r="K24" s="504">
        <v>0.69047049680157824</v>
      </c>
      <c r="L24" s="274">
        <v>0.73</v>
      </c>
      <c r="M24" s="274">
        <v>0.73234349780272434</v>
      </c>
      <c r="N24" s="275">
        <v>0.73256414970858275</v>
      </c>
      <c r="O24" s="274">
        <v>0.73</v>
      </c>
      <c r="P24" s="274">
        <v>0.75947560301909833</v>
      </c>
      <c r="Q24" s="274">
        <v>0.77488856216217583</v>
      </c>
      <c r="R24" s="274">
        <v>0.80879782484755869</v>
      </c>
      <c r="S24" s="506">
        <v>0.78834658277148317</v>
      </c>
      <c r="T24" s="274">
        <v>0.78954575963112872</v>
      </c>
      <c r="U24" s="274">
        <v>0.8002257357331517</v>
      </c>
      <c r="V24" s="275">
        <v>0.82143871465524043</v>
      </c>
      <c r="W24" s="275">
        <v>0.84409555183389018</v>
      </c>
      <c r="X24" s="312"/>
      <c r="Y24" s="276">
        <v>0.67134918631738794</v>
      </c>
      <c r="Z24" s="277">
        <v>0.67064576441823676</v>
      </c>
      <c r="AA24" s="506">
        <v>0.6338307170931452</v>
      </c>
      <c r="AB24" s="274">
        <v>0.67569882873944764</v>
      </c>
      <c r="AC24" s="274">
        <v>0.71501364121371658</v>
      </c>
      <c r="AD24" s="274">
        <v>0.73256414970858275</v>
      </c>
      <c r="AE24" s="274">
        <v>0.80879782484755869</v>
      </c>
      <c r="AF24" s="275">
        <v>0.82143871465524043</v>
      </c>
      <c r="AG24" s="301"/>
    </row>
    <row r="25" spans="2:33" x14ac:dyDescent="0.25">
      <c r="B25" s="93"/>
      <c r="C25" s="93"/>
      <c r="D25" s="93"/>
      <c r="E25" s="93"/>
      <c r="F25" s="93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312"/>
      <c r="Y25" s="280"/>
      <c r="Z25" s="280"/>
      <c r="AA25" s="279"/>
      <c r="AB25" s="279"/>
      <c r="AC25" s="279"/>
      <c r="AD25" s="279"/>
      <c r="AE25" s="279"/>
      <c r="AF25" s="279"/>
    </row>
    <row r="26" spans="2:33" x14ac:dyDescent="0.25">
      <c r="B26" s="88" t="s">
        <v>86</v>
      </c>
      <c r="C26" s="342"/>
      <c r="D26" s="342"/>
      <c r="E26" s="342"/>
      <c r="F26" s="342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1"/>
      <c r="W26" s="251"/>
      <c r="Y26" s="252"/>
      <c r="Z26" s="253"/>
      <c r="AA26" s="502"/>
      <c r="AB26" s="250"/>
      <c r="AC26" s="250"/>
      <c r="AD26" s="250"/>
      <c r="AE26" s="250"/>
      <c r="AF26" s="350"/>
    </row>
    <row r="27" spans="2:33" s="103" customFormat="1" ht="30" x14ac:dyDescent="0.25">
      <c r="B27" s="591" t="s">
        <v>87</v>
      </c>
      <c r="C27" s="579" t="s">
        <v>155</v>
      </c>
      <c r="D27" s="579" t="s">
        <v>155</v>
      </c>
      <c r="E27" s="579" t="s">
        <v>155</v>
      </c>
      <c r="F27" s="579" t="s">
        <v>155</v>
      </c>
      <c r="G27" s="580" t="s">
        <v>155</v>
      </c>
      <c r="H27" s="580" t="s">
        <v>154</v>
      </c>
      <c r="I27" s="580" t="s">
        <v>154</v>
      </c>
      <c r="J27" s="581" t="s">
        <v>154</v>
      </c>
      <c r="K27" s="1090" t="s">
        <v>154</v>
      </c>
      <c r="L27" s="1091" t="s">
        <v>154</v>
      </c>
      <c r="M27" s="1091" t="s">
        <v>154</v>
      </c>
      <c r="N27" s="1092" t="s">
        <v>154</v>
      </c>
      <c r="O27" s="1091" t="s">
        <v>154</v>
      </c>
      <c r="P27" s="1091" t="s">
        <v>154</v>
      </c>
      <c r="Q27" s="1091" t="s">
        <v>154</v>
      </c>
      <c r="R27" s="1091" t="s">
        <v>154</v>
      </c>
      <c r="S27" s="1090" t="s">
        <v>154</v>
      </c>
      <c r="T27" s="1091" t="s">
        <v>274</v>
      </c>
      <c r="U27" s="1091" t="s">
        <v>274</v>
      </c>
      <c r="V27" s="1092" t="s">
        <v>274</v>
      </c>
      <c r="W27" s="1107" t="s">
        <v>286</v>
      </c>
      <c r="X27" s="309"/>
      <c r="Y27" s="582" t="s">
        <v>127</v>
      </c>
      <c r="Z27" s="583" t="s">
        <v>127</v>
      </c>
      <c r="AA27" s="582" t="s">
        <v>127</v>
      </c>
      <c r="AB27" s="583" t="s">
        <v>126</v>
      </c>
      <c r="AC27" s="583" t="s">
        <v>126</v>
      </c>
      <c r="AD27" s="583" t="s">
        <v>125</v>
      </c>
      <c r="AE27" s="583" t="s">
        <v>125</v>
      </c>
      <c r="AF27" s="584" t="s">
        <v>274</v>
      </c>
      <c r="AG27" s="302"/>
    </row>
    <row r="28" spans="2:33" s="103" customFormat="1" ht="30" x14ac:dyDescent="0.25">
      <c r="B28" s="592" t="s">
        <v>88</v>
      </c>
      <c r="C28" s="585" t="s">
        <v>155</v>
      </c>
      <c r="D28" s="585" t="s">
        <v>155</v>
      </c>
      <c r="E28" s="585" t="s">
        <v>155</v>
      </c>
      <c r="F28" s="585" t="s">
        <v>155</v>
      </c>
      <c r="G28" s="586" t="s">
        <v>154</v>
      </c>
      <c r="H28" s="586" t="s">
        <v>154</v>
      </c>
      <c r="I28" s="586" t="s">
        <v>154</v>
      </c>
      <c r="J28" s="587" t="s">
        <v>154</v>
      </c>
      <c r="K28" s="1093" t="s">
        <v>154</v>
      </c>
      <c r="L28" s="1094" t="s">
        <v>154</v>
      </c>
      <c r="M28" s="1094" t="s">
        <v>154</v>
      </c>
      <c r="N28" s="1095" t="s">
        <v>154</v>
      </c>
      <c r="O28" s="1094" t="s">
        <v>154</v>
      </c>
      <c r="P28" s="1094" t="s">
        <v>154</v>
      </c>
      <c r="Q28" s="1094" t="s">
        <v>154</v>
      </c>
      <c r="R28" s="1094" t="s">
        <v>154</v>
      </c>
      <c r="S28" s="1093" t="s">
        <v>154</v>
      </c>
      <c r="T28" s="1094" t="s">
        <v>154</v>
      </c>
      <c r="U28" s="1094" t="s">
        <v>154</v>
      </c>
      <c r="V28" s="1095" t="s">
        <v>274</v>
      </c>
      <c r="W28" s="1108" t="s">
        <v>286</v>
      </c>
      <c r="X28" s="309"/>
      <c r="Y28" s="588" t="s">
        <v>128</v>
      </c>
      <c r="Z28" s="589" t="s">
        <v>128</v>
      </c>
      <c r="AA28" s="588" t="s">
        <v>127</v>
      </c>
      <c r="AB28" s="589" t="s">
        <v>126</v>
      </c>
      <c r="AC28" s="589" t="s">
        <v>126</v>
      </c>
      <c r="AD28" s="589" t="s">
        <v>125</v>
      </c>
      <c r="AE28" s="589" t="s">
        <v>125</v>
      </c>
      <c r="AF28" s="590" t="s">
        <v>274</v>
      </c>
      <c r="AG28" s="302"/>
    </row>
  </sheetData>
  <hyperlinks>
    <hyperlink ref="A1" location="Index!A1" display="Index" xr:uid="{00000000-0004-0000-0600-000000000000}"/>
  </hyperlinks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  <evenHeader>&amp;C&amp;"Calibri"&amp;11&amp;K008061 PRIVATE</evenHeader>
    <evenFooter>&amp;C&amp;"Calibri"&amp;11&amp;K008061 PRIVATE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506C-AD1F-4659-A440-1E7D71B2EE11}">
  <dimension ref="A1:S75"/>
  <sheetViews>
    <sheetView topLeftCell="A54" zoomScale="110" zoomScaleNormal="109" workbookViewId="0">
      <pane xSplit="1" topLeftCell="B1" activePane="topRight" state="frozen"/>
      <selection pane="topRight" activeCell="B71" sqref="B71:B75"/>
    </sheetView>
  </sheetViews>
  <sheetFormatPr defaultColWidth="7.85546875" defaultRowHeight="15" x14ac:dyDescent="0.25"/>
  <cols>
    <col min="1" max="1" width="42.140625" style="328" bestFit="1" customWidth="1"/>
    <col min="2" max="6" width="10.85546875" bestFit="1" customWidth="1"/>
    <col min="7" max="7" width="11.5703125" bestFit="1" customWidth="1"/>
    <col min="8" max="13" width="8" bestFit="1" customWidth="1"/>
    <col min="14" max="15" width="9.5703125" bestFit="1" customWidth="1"/>
  </cols>
  <sheetData>
    <row r="1" spans="1:19" x14ac:dyDescent="0.25">
      <c r="B1" t="str">
        <f>+Operational!G3</f>
        <v>Q1FY23</v>
      </c>
      <c r="C1" t="str">
        <f>+Operational!H3</f>
        <v>Q2FY23</v>
      </c>
      <c r="D1" t="str">
        <f>+Operational!I3</f>
        <v>Q3FY23</v>
      </c>
      <c r="E1" t="str">
        <f>+Operational!J3</f>
        <v>Q4FY23</v>
      </c>
      <c r="F1" t="str">
        <f>+Operational!K3</f>
        <v>Q1FY24</v>
      </c>
      <c r="G1" t="str">
        <f>+Operational!L3</f>
        <v>Q2FY24</v>
      </c>
      <c r="H1" t="str">
        <f>+Operational!M3</f>
        <v>Q3FY24</v>
      </c>
      <c r="I1" t="str">
        <f>+Operational!N3</f>
        <v>Q4FY24</v>
      </c>
      <c r="J1" t="str">
        <f>+Operational!O3</f>
        <v>Q1FY25</v>
      </c>
      <c r="K1" t="str">
        <f>+Operational!P3</f>
        <v>Q2FY25</v>
      </c>
      <c r="L1" t="str">
        <f>+Operational!Q3</f>
        <v>Q3FY25</v>
      </c>
      <c r="M1" t="str">
        <f>+Operational!R3</f>
        <v>Q4FY25</v>
      </c>
    </row>
    <row r="2" spans="1:19" x14ac:dyDescent="0.25">
      <c r="A2" s="328" t="s">
        <v>202</v>
      </c>
      <c r="B2" s="326">
        <v>0.23690115675775369</v>
      </c>
      <c r="C2" s="326">
        <v>0.23605860107502719</v>
      </c>
      <c r="D2" s="326">
        <v>0.23331758990365592</v>
      </c>
      <c r="E2" s="326">
        <v>0.2481407222198142</v>
      </c>
      <c r="F2" s="326">
        <v>0.23175908084914787</v>
      </c>
      <c r="G2" s="326">
        <v>0.22128970454539232</v>
      </c>
      <c r="H2" s="326">
        <v>0.22849778803937459</v>
      </c>
      <c r="I2" s="326">
        <v>0.22206959591175046</v>
      </c>
      <c r="J2" s="326">
        <v>0.21784600176411817</v>
      </c>
      <c r="K2" s="326">
        <v>0.20079905697925926</v>
      </c>
      <c r="L2" s="326">
        <v>0.19643487087662082</v>
      </c>
      <c r="M2" s="326">
        <f>Operational!R4/Operational!N4-1</f>
        <v>0.17949476027813782</v>
      </c>
    </row>
    <row r="3" spans="1:19" x14ac:dyDescent="0.25">
      <c r="A3" s="328" t="s">
        <v>203</v>
      </c>
      <c r="B3" s="326">
        <v>1.3646519725473243</v>
      </c>
      <c r="C3" s="326">
        <v>0.27182698898149682</v>
      </c>
      <c r="D3" s="326">
        <v>0.2645032660358082</v>
      </c>
      <c r="E3" s="326">
        <v>0.22883711039381693</v>
      </c>
      <c r="F3" s="326">
        <v>-2.3239823748472777E-2</v>
      </c>
      <c r="G3" s="326">
        <v>9.7420686821386049E-2</v>
      </c>
      <c r="H3" s="326">
        <v>0.13307422133586755</v>
      </c>
      <c r="I3" s="326">
        <v>0.19684666361415171</v>
      </c>
      <c r="J3" s="326">
        <v>0.13359290391920986</v>
      </c>
      <c r="K3" s="326">
        <v>2.8019948193390931E-2</v>
      </c>
      <c r="L3" s="326">
        <v>0.17013409377285638</v>
      </c>
      <c r="M3" s="326">
        <f>Operational!R5/Operational!N5-1</f>
        <v>6.9051655896494646E-2</v>
      </c>
    </row>
    <row r="5" spans="1:19" x14ac:dyDescent="0.25">
      <c r="A5" s="328" t="s">
        <v>193</v>
      </c>
      <c r="B5" t="s">
        <v>194</v>
      </c>
      <c r="C5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201</v>
      </c>
      <c r="I5" t="s">
        <v>6</v>
      </c>
      <c r="J5" t="s">
        <v>7</v>
      </c>
      <c r="K5" t="s">
        <v>8</v>
      </c>
      <c r="L5" t="s">
        <v>9</v>
      </c>
      <c r="M5" t="s">
        <v>10</v>
      </c>
      <c r="N5" t="s">
        <v>98</v>
      </c>
      <c r="O5" t="s">
        <v>239</v>
      </c>
      <c r="P5" t="s">
        <v>282</v>
      </c>
    </row>
    <row r="6" spans="1:19" x14ac:dyDescent="0.25">
      <c r="A6" s="328" t="s">
        <v>192</v>
      </c>
      <c r="B6" t="s">
        <v>195</v>
      </c>
      <c r="C6">
        <v>1.8</v>
      </c>
      <c r="D6">
        <v>4.0999999999999996</v>
      </c>
      <c r="E6">
        <v>8.4</v>
      </c>
      <c r="F6">
        <v>16.8</v>
      </c>
      <c r="G6">
        <v>26.9</v>
      </c>
      <c r="H6">
        <v>40.700000000000003</v>
      </c>
      <c r="I6">
        <v>59.4</v>
      </c>
      <c r="J6">
        <v>78</v>
      </c>
      <c r="K6">
        <v>94.5</v>
      </c>
      <c r="L6">
        <v>113.5</v>
      </c>
      <c r="M6">
        <v>141.69999999999999</v>
      </c>
      <c r="N6">
        <v>173.1</v>
      </c>
      <c r="O6" s="369">
        <f>Operational!R4/1000</f>
        <v>204.20176000000001</v>
      </c>
      <c r="P6">
        <v>234.5171</v>
      </c>
      <c r="S6" s="326">
        <f>+POWER(P6/C6,1/13)-1</f>
        <v>0.45440302780667241</v>
      </c>
    </row>
    <row r="7" spans="1:19" x14ac:dyDescent="0.25">
      <c r="S7" s="326"/>
    </row>
    <row r="8" spans="1:19" x14ac:dyDescent="0.25">
      <c r="B8" t="str">
        <f t="shared" ref="B8:M8" si="0">+B1</f>
        <v>Q1FY23</v>
      </c>
      <c r="C8" t="str">
        <f t="shared" si="0"/>
        <v>Q2FY23</v>
      </c>
      <c r="D8" t="str">
        <f t="shared" si="0"/>
        <v>Q3FY23</v>
      </c>
      <c r="E8" t="str">
        <f t="shared" si="0"/>
        <v>Q4FY23</v>
      </c>
      <c r="F8" t="str">
        <f t="shared" si="0"/>
        <v>Q1FY24</v>
      </c>
      <c r="G8" t="str">
        <f t="shared" si="0"/>
        <v>Q2FY24</v>
      </c>
      <c r="H8" t="str">
        <f t="shared" si="0"/>
        <v>Q3FY24</v>
      </c>
      <c r="I8" t="str">
        <f t="shared" si="0"/>
        <v>Q4FY24</v>
      </c>
      <c r="J8" t="str">
        <f t="shared" si="0"/>
        <v>Q1FY25</v>
      </c>
      <c r="K8" t="str">
        <f t="shared" si="0"/>
        <v>Q2FY25</v>
      </c>
      <c r="L8" t="str">
        <f t="shared" si="0"/>
        <v>Q3FY25</v>
      </c>
      <c r="M8" t="str">
        <f t="shared" si="0"/>
        <v>Q4FY25</v>
      </c>
      <c r="N8" t="s">
        <v>251</v>
      </c>
      <c r="O8" t="s">
        <v>271</v>
      </c>
      <c r="P8" t="s">
        <v>278</v>
      </c>
      <c r="Q8" t="s">
        <v>281</v>
      </c>
    </row>
    <row r="9" spans="1:19" x14ac:dyDescent="0.25">
      <c r="A9" s="328" t="s">
        <v>129</v>
      </c>
      <c r="B9" s="327">
        <f>+Operational!G7</f>
        <v>0.71099999999999997</v>
      </c>
      <c r="C9" s="327">
        <f>+Operational!H7</f>
        <v>0.70879999999999999</v>
      </c>
      <c r="D9" s="327">
        <f>+Operational!I7</f>
        <v>0.70109999999999995</v>
      </c>
      <c r="E9" s="327">
        <f>+Operational!J7</f>
        <v>0.69910000000000005</v>
      </c>
      <c r="F9" s="327">
        <f>+Operational!K7</f>
        <v>0.69799999999999995</v>
      </c>
      <c r="G9" s="327">
        <f>+Operational!L7</f>
        <v>0.69699999999999995</v>
      </c>
      <c r="H9" s="327">
        <f>+Operational!M7</f>
        <v>0.69299999999999995</v>
      </c>
      <c r="I9" s="327">
        <f>+Operational!N7</f>
        <v>0.69299999999999995</v>
      </c>
      <c r="J9" s="327">
        <f>+Operational!O7</f>
        <v>0.69199999999999995</v>
      </c>
      <c r="K9" s="327">
        <f>+Operational!P7</f>
        <v>0.69</v>
      </c>
      <c r="L9" s="327">
        <f>+Operational!Q7</f>
        <v>0.68608960168096667</v>
      </c>
      <c r="M9" s="327">
        <f>+Operational!R7</f>
        <v>0.67970122685040646</v>
      </c>
      <c r="N9" s="327">
        <v>0.67459992188893758</v>
      </c>
      <c r="O9" s="327">
        <v>0.66914898493672859</v>
      </c>
      <c r="P9" s="327">
        <v>0.66179656360483707</v>
      </c>
      <c r="Q9" s="327">
        <v>0.65008265921760078</v>
      </c>
      <c r="R9" s="327"/>
    </row>
    <row r="10" spans="1:19" x14ac:dyDescent="0.25">
      <c r="A10" s="328" t="s">
        <v>204</v>
      </c>
      <c r="B10" s="327">
        <f>+Operational!G9</f>
        <v>7.6100000000000001E-2</v>
      </c>
      <c r="C10" s="327">
        <f>+Operational!H9</f>
        <v>9.4299999999999995E-2</v>
      </c>
      <c r="D10" s="327">
        <f>+Operational!I9</f>
        <v>0.1</v>
      </c>
      <c r="E10" s="327">
        <f>+Operational!J9</f>
        <v>0.1041</v>
      </c>
      <c r="F10" s="327">
        <f>+Operational!K9</f>
        <v>0.104</v>
      </c>
      <c r="G10" s="327">
        <f>+Operational!L9</f>
        <v>0.12</v>
      </c>
      <c r="H10" s="327">
        <f>+Operational!M9</f>
        <v>0.13200000000000001</v>
      </c>
      <c r="I10" s="327">
        <f>+Operational!N9</f>
        <v>0.17</v>
      </c>
      <c r="J10" s="327">
        <f>+Operational!O9</f>
        <v>0.17299999999999999</v>
      </c>
      <c r="K10" s="327">
        <f>+Operational!P9</f>
        <v>0.17899999999999999</v>
      </c>
      <c r="L10" s="327">
        <f>+Operational!Q9</f>
        <v>0.18404745695075322</v>
      </c>
      <c r="M10" s="327">
        <f>+Operational!R9</f>
        <v>0.192</v>
      </c>
      <c r="N10" s="327">
        <v>0.19752937602761853</v>
      </c>
      <c r="O10" s="327">
        <v>0.20396029007736199</v>
      </c>
      <c r="P10" s="327">
        <v>0.21202513117301325</v>
      </c>
      <c r="Q10" s="327">
        <v>0.2242318363991368</v>
      </c>
      <c r="R10" s="327"/>
    </row>
    <row r="11" spans="1:19" x14ac:dyDescent="0.25">
      <c r="A11" s="328" t="s">
        <v>205</v>
      </c>
      <c r="B11" s="327">
        <f>+Operational!G10</f>
        <v>0.21290000000000009</v>
      </c>
      <c r="C11" s="327">
        <f>+Operational!H10</f>
        <v>0.19690000000000007</v>
      </c>
      <c r="D11" s="327">
        <f>+Operational!I10</f>
        <v>0.19890000000000008</v>
      </c>
      <c r="E11" s="327">
        <f>+Operational!J10</f>
        <v>0.19679999999999997</v>
      </c>
      <c r="F11" s="327">
        <f>+Operational!K10</f>
        <v>0.19800000000000006</v>
      </c>
      <c r="G11" s="327">
        <f>+Operational!L10</f>
        <v>0.18300000000000005</v>
      </c>
      <c r="H11" s="327">
        <f>+Operational!M10</f>
        <v>0.17500000000000004</v>
      </c>
      <c r="I11" s="327">
        <f>+Operational!N10</f>
        <v>0.13700000000000001</v>
      </c>
      <c r="J11" s="327">
        <f>+Operational!O10</f>
        <v>0.13500000000000001</v>
      </c>
      <c r="K11" s="327">
        <f>+Operational!P10</f>
        <v>0.13100000000000001</v>
      </c>
      <c r="L11" s="327">
        <f>+Operational!Q10</f>
        <v>0.12986294136828039</v>
      </c>
      <c r="M11" s="327">
        <f>+Operational!R10</f>
        <v>0.128</v>
      </c>
      <c r="N11" s="327">
        <v>0.12787552375395977</v>
      </c>
      <c r="O11" s="327">
        <v>0.12689072498590942</v>
      </c>
      <c r="P11" s="327">
        <v>0.12617830522214965</v>
      </c>
      <c r="Q11" s="327">
        <v>0.12568550438326245</v>
      </c>
      <c r="R11" s="327"/>
    </row>
    <row r="13" spans="1:19" x14ac:dyDescent="0.25">
      <c r="B13" t="str">
        <f t="shared" ref="B13:N13" si="1">+C5</f>
        <v>FY13</v>
      </c>
      <c r="C13" t="str">
        <f t="shared" si="1"/>
        <v>FY14</v>
      </c>
      <c r="D13" t="str">
        <f t="shared" si="1"/>
        <v>FY15</v>
      </c>
      <c r="E13" t="str">
        <f t="shared" si="1"/>
        <v>FY16</v>
      </c>
      <c r="F13" t="str">
        <f t="shared" si="1"/>
        <v>FY17</v>
      </c>
      <c r="G13" t="str">
        <f t="shared" si="1"/>
        <v>FY18</v>
      </c>
      <c r="H13" t="str">
        <f t="shared" si="1"/>
        <v>FY19</v>
      </c>
      <c r="I13" t="str">
        <f t="shared" si="1"/>
        <v>FY20</v>
      </c>
      <c r="J13" t="str">
        <f t="shared" si="1"/>
        <v>FY21</v>
      </c>
      <c r="K13" t="str">
        <f t="shared" si="1"/>
        <v>FY22</v>
      </c>
      <c r="L13" t="str">
        <f t="shared" si="1"/>
        <v>FY23</v>
      </c>
      <c r="M13" t="str">
        <f t="shared" si="1"/>
        <v>FY24</v>
      </c>
      <c r="N13" t="str">
        <f t="shared" si="1"/>
        <v>FY25</v>
      </c>
      <c r="O13" t="s">
        <v>282</v>
      </c>
    </row>
    <row r="14" spans="1:19" x14ac:dyDescent="0.25">
      <c r="A14" s="328" t="s">
        <v>212</v>
      </c>
      <c r="B14">
        <v>25</v>
      </c>
      <c r="C14">
        <v>35</v>
      </c>
      <c r="D14">
        <v>42</v>
      </c>
      <c r="E14">
        <v>44</v>
      </c>
      <c r="F14">
        <v>94</v>
      </c>
      <c r="G14">
        <v>165</v>
      </c>
      <c r="H14">
        <f>+Operational!Y60</f>
        <v>210</v>
      </c>
      <c r="I14">
        <f>+Operational!Z60</f>
        <v>250</v>
      </c>
      <c r="J14">
        <f>+Operational!AA60</f>
        <v>280</v>
      </c>
      <c r="K14">
        <f>+Operational!AB60</f>
        <v>314</v>
      </c>
      <c r="L14">
        <f>+Operational!AC60</f>
        <v>346</v>
      </c>
      <c r="M14">
        <f>+Operational!AD60</f>
        <v>367</v>
      </c>
      <c r="N14">
        <f>+Operational!AE60</f>
        <v>397</v>
      </c>
      <c r="O14">
        <v>435</v>
      </c>
    </row>
    <row r="15" spans="1:19" x14ac:dyDescent="0.25">
      <c r="A15" s="328" t="s">
        <v>214</v>
      </c>
      <c r="C15">
        <f t="shared" ref="C15:O15" si="2">+C14-B14</f>
        <v>10</v>
      </c>
      <c r="D15">
        <f t="shared" si="2"/>
        <v>7</v>
      </c>
      <c r="E15">
        <f t="shared" si="2"/>
        <v>2</v>
      </c>
      <c r="F15">
        <f t="shared" si="2"/>
        <v>50</v>
      </c>
      <c r="G15">
        <f t="shared" si="2"/>
        <v>71</v>
      </c>
      <c r="H15">
        <f t="shared" si="2"/>
        <v>45</v>
      </c>
      <c r="I15">
        <f t="shared" si="2"/>
        <v>40</v>
      </c>
      <c r="J15">
        <f t="shared" si="2"/>
        <v>30</v>
      </c>
      <c r="K15">
        <f t="shared" si="2"/>
        <v>34</v>
      </c>
      <c r="L15">
        <f t="shared" si="2"/>
        <v>32</v>
      </c>
      <c r="M15">
        <f t="shared" si="2"/>
        <v>21</v>
      </c>
      <c r="N15">
        <f t="shared" si="2"/>
        <v>30</v>
      </c>
      <c r="O15">
        <f t="shared" si="2"/>
        <v>38</v>
      </c>
    </row>
    <row r="16" spans="1:19" x14ac:dyDescent="0.25">
      <c r="A16" s="328" t="s">
        <v>213</v>
      </c>
      <c r="G16">
        <v>8</v>
      </c>
      <c r="H16">
        <v>10</v>
      </c>
      <c r="I16">
        <v>10</v>
      </c>
      <c r="J16">
        <v>11</v>
      </c>
      <c r="K16">
        <v>13</v>
      </c>
      <c r="L16">
        <v>13</v>
      </c>
      <c r="M16">
        <v>13</v>
      </c>
      <c r="N16">
        <v>14</v>
      </c>
      <c r="O16">
        <v>15</v>
      </c>
    </row>
    <row r="19" spans="1:16" x14ac:dyDescent="0.25">
      <c r="A19" s="328" t="s">
        <v>193</v>
      </c>
      <c r="B19" t="s">
        <v>201</v>
      </c>
      <c r="C19" t="s">
        <v>6</v>
      </c>
      <c r="D19" t="s">
        <v>7</v>
      </c>
      <c r="E19" t="s">
        <v>8</v>
      </c>
      <c r="F19" t="s">
        <v>9</v>
      </c>
      <c r="G19" t="s">
        <v>10</v>
      </c>
      <c r="H19" t="s">
        <v>98</v>
      </c>
      <c r="I19" t="s">
        <v>239</v>
      </c>
      <c r="J19" t="s">
        <v>282</v>
      </c>
    </row>
    <row r="20" spans="1:16" x14ac:dyDescent="0.25">
      <c r="A20" s="328" t="s">
        <v>208</v>
      </c>
      <c r="B20" s="326">
        <v>0.97199999999999998</v>
      </c>
      <c r="C20" s="326">
        <f>+SUM(Operational!Y33:Y37)</f>
        <v>0.94600000000000006</v>
      </c>
      <c r="D20" s="326">
        <f>+SUM(Operational!Z33:Z37)</f>
        <v>0.92200000000000004</v>
      </c>
      <c r="E20" s="326">
        <f>+SUM(Operational!AA33:AA37)</f>
        <v>0.90500000000000014</v>
      </c>
      <c r="F20" s="326">
        <f>+SUM(Operational!AB33:AB37)</f>
        <v>0.89300000000000002</v>
      </c>
      <c r="G20" s="326">
        <f>+SUM(Operational!AC33:AC37)</f>
        <v>0.87300000000000011</v>
      </c>
      <c r="H20" s="326">
        <f>+SUM(Operational!AD33:AD37)</f>
        <v>0.85099999999999998</v>
      </c>
      <c r="I20" s="326">
        <f>+SUM(Operational!AE33:AE37)</f>
        <v>0.8304324447678717</v>
      </c>
      <c r="J20" s="326">
        <f>+SUM(Operational!V33:V37)</f>
        <v>0.81400000000000006</v>
      </c>
    </row>
    <row r="21" spans="1:16" x14ac:dyDescent="0.25">
      <c r="A21" s="328" t="s">
        <v>209</v>
      </c>
      <c r="B21" s="326">
        <f>100%-B20</f>
        <v>2.8000000000000025E-2</v>
      </c>
      <c r="C21" s="326">
        <f t="shared" ref="C21:J21" si="3">100%-C20</f>
        <v>5.3999999999999937E-2</v>
      </c>
      <c r="D21" s="326">
        <f t="shared" si="3"/>
        <v>7.7999999999999958E-2</v>
      </c>
      <c r="E21" s="326">
        <f t="shared" si="3"/>
        <v>9.4999999999999862E-2</v>
      </c>
      <c r="F21" s="326">
        <f t="shared" si="3"/>
        <v>0.10699999999999998</v>
      </c>
      <c r="G21" s="326">
        <f t="shared" si="3"/>
        <v>0.12699999999999989</v>
      </c>
      <c r="H21" s="326">
        <f t="shared" si="3"/>
        <v>0.14900000000000002</v>
      </c>
      <c r="I21" s="326">
        <f t="shared" si="3"/>
        <v>0.1695675552321283</v>
      </c>
      <c r="J21" s="326">
        <f t="shared" si="3"/>
        <v>0.18599999999999994</v>
      </c>
    </row>
    <row r="23" spans="1:16" x14ac:dyDescent="0.25">
      <c r="B23" t="str">
        <f>+C19</f>
        <v>FY19</v>
      </c>
      <c r="C23" t="str">
        <f t="shared" ref="C23:H23" si="4">+D19</f>
        <v>FY20</v>
      </c>
      <c r="D23" t="str">
        <f t="shared" si="4"/>
        <v>FY21</v>
      </c>
      <c r="E23" t="str">
        <f t="shared" si="4"/>
        <v>FY22</v>
      </c>
      <c r="F23" t="str">
        <f t="shared" si="4"/>
        <v>FY23</v>
      </c>
      <c r="G23" t="str">
        <f t="shared" si="4"/>
        <v>FY24</v>
      </c>
      <c r="H23" t="str">
        <f t="shared" si="4"/>
        <v>FY25</v>
      </c>
      <c r="I23" t="str">
        <f>+J19</f>
        <v>FY26</v>
      </c>
    </row>
    <row r="24" spans="1:16" x14ac:dyDescent="0.25">
      <c r="A24" s="328" t="s">
        <v>218</v>
      </c>
      <c r="B24" s="332">
        <f>+'Credit Quality'!Y8</f>
        <v>3.4299999999999997E-2</v>
      </c>
      <c r="C24" s="332">
        <f>+'Credit Quality'!Z8</f>
        <v>2.4299999999999999E-2</v>
      </c>
      <c r="D24" s="332">
        <f>+'Credit Quality'!AA8</f>
        <v>6.3700000000000007E-2</v>
      </c>
      <c r="E24" s="332">
        <f>+'Credit Quality'!AB8</f>
        <v>4.4699999999999997E-2</v>
      </c>
      <c r="F24" s="332">
        <f>+'Credit Quality'!AC8</f>
        <v>3.301213985249235E-2</v>
      </c>
      <c r="G24" s="332">
        <f>+'Credit Quality'!AD8</f>
        <v>3.1199999999999999E-2</v>
      </c>
      <c r="H24" s="332">
        <f>+'Credit Quality'!AE8</f>
        <v>3.39E-2</v>
      </c>
      <c r="I24" s="332">
        <f>+'Credit Quality'!V8</f>
        <v>3.1699999999999999E-2</v>
      </c>
    </row>
    <row r="25" spans="1:16" x14ac:dyDescent="0.25">
      <c r="A25" s="328" t="s">
        <v>216</v>
      </c>
      <c r="B25" s="332">
        <f>+'Credit Quality'!Y6</f>
        <v>4.7000000000000002E-3</v>
      </c>
      <c r="C25" s="332">
        <f>+'Credit Quality'!Z6</f>
        <v>4.5999999999999999E-3</v>
      </c>
      <c r="D25" s="332">
        <f>+'Credit Quality'!AA6</f>
        <v>9.7999999999999997E-3</v>
      </c>
      <c r="E25" s="332">
        <f>+'Credit Quality'!AB6</f>
        <v>9.9000000000000008E-3</v>
      </c>
      <c r="F25" s="332">
        <f>+'Credit Quality'!AC6</f>
        <v>9.2388934184662388E-3</v>
      </c>
      <c r="G25" s="332">
        <f>+'Credit Quality'!AD6</f>
        <v>9.3587917321395798E-3</v>
      </c>
      <c r="H25" s="332">
        <f>+'Credit Quality'!AE6</f>
        <v>1.0793816651892411E-2</v>
      </c>
      <c r="I25" s="332">
        <f>+'Credit Quality'!V6</f>
        <v>1.0472362803420629E-2</v>
      </c>
    </row>
    <row r="26" spans="1:16" x14ac:dyDescent="0.25">
      <c r="A26" s="328" t="s">
        <v>217</v>
      </c>
      <c r="B26" s="332">
        <f>+'Credit Quality'!Y7</f>
        <v>3.7000000000000002E-3</v>
      </c>
      <c r="C26" s="332">
        <f>+'Credit Quality'!Z7</f>
        <v>3.3999999999999998E-3</v>
      </c>
      <c r="D26" s="332">
        <f>+'Credit Quality'!AA7</f>
        <v>7.1000000000000004E-3</v>
      </c>
      <c r="E26" s="332">
        <f>+'Credit Quality'!AB7</f>
        <v>7.7000000000000002E-3</v>
      </c>
      <c r="F26" s="332">
        <f>+'Credit Quality'!AC7</f>
        <v>6.7952650428141602E-3</v>
      </c>
      <c r="G26" s="332">
        <f>+'Credit Quality'!AD7</f>
        <v>6.702634534052186E-3</v>
      </c>
      <c r="H26" s="332">
        <f>+'Credit Quality'!AE7</f>
        <v>7.3412504947023517E-3</v>
      </c>
      <c r="I26" s="332">
        <f>+'Credit Quality'!V7</f>
        <v>6.7552787213359519E-3</v>
      </c>
    </row>
    <row r="27" spans="1:16" x14ac:dyDescent="0.25">
      <c r="A27" s="328" t="s">
        <v>12</v>
      </c>
      <c r="B27" s="332">
        <f>+'Credit Quality'!Y9</f>
        <v>1.8408488522229029E-3</v>
      </c>
      <c r="C27" s="332">
        <f>+'Credit Quality'!Z9</f>
        <v>2.309057585792044E-3</v>
      </c>
      <c r="D27" s="332">
        <f>+'Credit Quality'!AA9</f>
        <v>4.4696554742849649E-3</v>
      </c>
      <c r="E27" s="332">
        <f>+'Credit Quality'!AB9</f>
        <v>2.2627339472700491E-3</v>
      </c>
      <c r="F27" s="332">
        <f>+'Credit Quality'!AC9</f>
        <v>1.0169405683210333E-3</v>
      </c>
      <c r="G27" s="332">
        <f>+'Credit Quality'!AD9</f>
        <v>1.635399273453449E-3</v>
      </c>
      <c r="H27" s="332">
        <f>+'Credit Quality'!AE9</f>
        <v>1.5438764816289043E-3</v>
      </c>
      <c r="I27" s="332">
        <f>+'Credit Quality'!AF9</f>
        <v>1.6933748238706135E-3</v>
      </c>
    </row>
    <row r="31" spans="1:16" x14ac:dyDescent="0.25">
      <c r="B31" t="str">
        <f t="shared" ref="B31:P31" si="5">+B5</f>
        <v>FY12</v>
      </c>
      <c r="C31" t="str">
        <f t="shared" si="5"/>
        <v>FY13</v>
      </c>
      <c r="D31" t="str">
        <f t="shared" si="5"/>
        <v>FY14</v>
      </c>
      <c r="E31" t="str">
        <f t="shared" si="5"/>
        <v>FY15</v>
      </c>
      <c r="F31" t="str">
        <f t="shared" si="5"/>
        <v>FY16</v>
      </c>
      <c r="G31" t="str">
        <f t="shared" si="5"/>
        <v>FY17</v>
      </c>
      <c r="H31" t="str">
        <f t="shared" si="5"/>
        <v>FY18</v>
      </c>
      <c r="I31" t="str">
        <f t="shared" si="5"/>
        <v>FY19</v>
      </c>
      <c r="J31" t="str">
        <f t="shared" si="5"/>
        <v>FY20</v>
      </c>
      <c r="K31" t="str">
        <f t="shared" si="5"/>
        <v>FY21</v>
      </c>
      <c r="L31" t="str">
        <f t="shared" si="5"/>
        <v>FY22</v>
      </c>
      <c r="M31" t="str">
        <f t="shared" si="5"/>
        <v>FY23</v>
      </c>
      <c r="N31" t="str">
        <f t="shared" si="5"/>
        <v>FY24</v>
      </c>
      <c r="O31" t="str">
        <f t="shared" si="5"/>
        <v>FY25</v>
      </c>
      <c r="P31" t="str">
        <f t="shared" si="5"/>
        <v>FY26</v>
      </c>
    </row>
    <row r="32" spans="1:16" x14ac:dyDescent="0.25">
      <c r="A32" s="328" t="s">
        <v>210</v>
      </c>
      <c r="I32" s="328">
        <f>+'P&amp;L'!AA20</f>
        <v>88.9767929961356</v>
      </c>
      <c r="J32" s="328">
        <f>+'P&amp;L'!AB20</f>
        <v>153.37760951844223</v>
      </c>
      <c r="K32" s="328">
        <f>+'P&amp;L'!AC20</f>
        <v>371.38558625620163</v>
      </c>
      <c r="L32" s="328">
        <f>+'P&amp;L'!AD20</f>
        <v>226.05198588657998</v>
      </c>
      <c r="M32" s="328">
        <f>+'P&amp;L'!AE20</f>
        <v>124.22393844133417</v>
      </c>
      <c r="N32" s="328">
        <f>+'P&amp;L'!AF20</f>
        <v>244.7</v>
      </c>
      <c r="O32" s="328">
        <f>+'P&amp;L'!AG20</f>
        <v>271.24310133988445</v>
      </c>
      <c r="P32" s="328">
        <f>+'P&amp;L'!AH20</f>
        <v>337.24385022795781</v>
      </c>
    </row>
    <row r="33" spans="1:16" s="328" customFormat="1" x14ac:dyDescent="0.25">
      <c r="A33" s="328" t="s">
        <v>211</v>
      </c>
      <c r="C33" s="328">
        <f>+SUM($B$32:C32)</f>
        <v>0</v>
      </c>
      <c r="D33" s="328">
        <f>+SUM($B$32:D32)</f>
        <v>0</v>
      </c>
      <c r="E33" s="328">
        <f>+SUM($B$32:E32)</f>
        <v>0</v>
      </c>
      <c r="F33" s="328">
        <f>+SUM($B$32:F32)</f>
        <v>0</v>
      </c>
      <c r="G33" s="328">
        <f>+SUM($B$32:G32)</f>
        <v>0</v>
      </c>
      <c r="H33" s="328">
        <f>+SUM($B$32:H32)</f>
        <v>0</v>
      </c>
      <c r="I33" s="328">
        <f>+SUM($B$32:I32)</f>
        <v>88.9767929961356</v>
      </c>
      <c r="J33" s="328">
        <f>+SUM($B$32:J32)</f>
        <v>242.35440251457783</v>
      </c>
      <c r="K33" s="328">
        <f>+SUM($B$32:K32)</f>
        <v>613.73998877077952</v>
      </c>
      <c r="L33" s="328">
        <f>+SUM($B$32:L32)</f>
        <v>839.79197465735956</v>
      </c>
      <c r="M33" s="328">
        <f>+SUM($B$32:M32)</f>
        <v>964.01591309869377</v>
      </c>
      <c r="N33" s="328">
        <f>+SUM($B$32:N32)</f>
        <v>1208.7159130986938</v>
      </c>
      <c r="O33" s="328">
        <f>+SUM($B$32:O32)</f>
        <v>1479.9590144385784</v>
      </c>
      <c r="P33" s="328">
        <f>+SUM($B$32:P32)</f>
        <v>1817.2028646665362</v>
      </c>
    </row>
    <row r="34" spans="1:16" x14ac:dyDescent="0.25">
      <c r="O34" s="327"/>
      <c r="P34" s="327">
        <f>+(P33/1000)/P6</f>
        <v>7.7487009035440745E-3</v>
      </c>
    </row>
    <row r="36" spans="1:16" x14ac:dyDescent="0.25">
      <c r="B36" t="str">
        <f t="shared" ref="B36:G36" si="6">+B23</f>
        <v>FY19</v>
      </c>
      <c r="C36" t="str">
        <f t="shared" si="6"/>
        <v>FY20</v>
      </c>
      <c r="D36" t="str">
        <f t="shared" si="6"/>
        <v>FY21</v>
      </c>
      <c r="E36" t="str">
        <f t="shared" si="6"/>
        <v>FY22</v>
      </c>
      <c r="F36" t="str">
        <f t="shared" si="6"/>
        <v>FY23</v>
      </c>
      <c r="G36" t="str">
        <f t="shared" si="6"/>
        <v>FY24</v>
      </c>
      <c r="H36" t="s">
        <v>239</v>
      </c>
      <c r="I36" t="s">
        <v>282</v>
      </c>
    </row>
    <row r="37" spans="1:16" x14ac:dyDescent="0.25">
      <c r="A37" s="328" t="s">
        <v>220</v>
      </c>
      <c r="B37" s="328">
        <f>+'P&amp;L'!AA15</f>
        <v>4506.8350995332794</v>
      </c>
      <c r="C37" s="328">
        <f>+'P&amp;L'!AB15</f>
        <v>5421.2165161690973</v>
      </c>
      <c r="D37" s="328">
        <f>+'P&amp;L'!AC15</f>
        <v>6409.0764520774483</v>
      </c>
      <c r="E37" s="328">
        <f>+'P&amp;L'!AD15</f>
        <v>8223.4231116102637</v>
      </c>
      <c r="F37" s="328">
        <f>+'P&amp;L'!AE15</f>
        <v>10119.795833401502</v>
      </c>
      <c r="G37" s="328">
        <f>+'P&amp;L'!AF15</f>
        <v>11844.064832429451</v>
      </c>
      <c r="H37" s="328">
        <f>+'P&amp;L'!AG15</f>
        <v>13426.222535086707</v>
      </c>
      <c r="I37" s="328">
        <f>+'P&amp;L'!AH15</f>
        <v>15797.0437154667</v>
      </c>
      <c r="L37" s="326">
        <f>+POWER(I37/D37,1/5)-1</f>
        <v>0.19772212884747931</v>
      </c>
      <c r="M37" s="369">
        <f>I37/D37</f>
        <v>2.4647925225398462</v>
      </c>
    </row>
    <row r="38" spans="1:16" x14ac:dyDescent="0.25">
      <c r="A38" s="328" t="s">
        <v>221</v>
      </c>
      <c r="B38" s="328">
        <f>+'P&amp;L'!AA25</f>
        <v>1761.4068624032557</v>
      </c>
      <c r="C38" s="328">
        <f>+'P&amp;L'!AB25</f>
        <v>2490.6765042737211</v>
      </c>
      <c r="D38" s="328">
        <f>+'P&amp;L'!AC25</f>
        <v>2903.2920021715045</v>
      </c>
      <c r="E38" s="328">
        <f>+'P&amp;L'!AD25</f>
        <v>3575.0796183261932</v>
      </c>
      <c r="F38" s="328">
        <f>+'P&amp;L'!AE25</f>
        <v>4282.7861233836202</v>
      </c>
      <c r="G38" s="328">
        <f>+'P&amp;L'!AF25</f>
        <v>4908.8219230389786</v>
      </c>
      <c r="H38" s="328">
        <f>+'P&amp;L'!AG25</f>
        <v>5743.4478785688443</v>
      </c>
      <c r="I38" s="328">
        <f>+'P&amp;L'!AH25</f>
        <v>6555.8895431908659</v>
      </c>
      <c r="L38" s="326">
        <f>+POWER(I38/D38,1/5)-1</f>
        <v>0.1769233573887572</v>
      </c>
      <c r="M38" s="369">
        <f>I38/D38</f>
        <v>2.2580882454425586</v>
      </c>
    </row>
    <row r="41" spans="1:16" x14ac:dyDescent="0.25">
      <c r="B41" t="str">
        <f>+BS!Y4</f>
        <v>FY19</v>
      </c>
      <c r="C41" t="str">
        <f>+BS!Z4</f>
        <v>FY20</v>
      </c>
      <c r="D41" t="str">
        <f>+BS!AA4</f>
        <v>FY21</v>
      </c>
      <c r="E41" t="str">
        <f>+BS!AB4</f>
        <v>FY22</v>
      </c>
      <c r="F41" t="str">
        <f>+BS!AC4</f>
        <v>FY23</v>
      </c>
      <c r="G41" t="str">
        <f>+BS!AD4</f>
        <v>FY24</v>
      </c>
      <c r="H41" t="str">
        <f>H36</f>
        <v>FY25</v>
      </c>
      <c r="I41" t="str">
        <f>+I36</f>
        <v>FY26</v>
      </c>
    </row>
    <row r="42" spans="1:16" x14ac:dyDescent="0.25">
      <c r="A42" s="328" t="s">
        <v>219</v>
      </c>
      <c r="B42" s="328">
        <f>+SUM(BS!Y6:Y7)</f>
        <v>18369.593140623168</v>
      </c>
      <c r="C42" s="328">
        <f>+SUM(BS!Z6:Z7)</f>
        <v>20979.336973676531</v>
      </c>
      <c r="D42" s="328">
        <f>+SUM(BS!AA6:AA7)</f>
        <v>24014.04792654319</v>
      </c>
      <c r="E42" s="328">
        <f>+SUM(BS!AB6:AB7)</f>
        <v>28086.432961471834</v>
      </c>
      <c r="F42" s="328">
        <f>+SUM(BS!AC6:AC7)</f>
        <v>32696.600112345801</v>
      </c>
      <c r="G42" s="328">
        <f>+SUM(BS!AD6:AD7)</f>
        <v>37733.151922592137</v>
      </c>
      <c r="H42" s="328">
        <f>+SUM(BS!AE6:AE7)</f>
        <v>43608.322557626816</v>
      </c>
      <c r="I42" s="328">
        <f>+SUM(BS!AF6:AF7)</f>
        <v>50508.45499742504</v>
      </c>
      <c r="L42" s="326">
        <f>+POWER(I42/D42,1/5)-1</f>
        <v>0.16032524764160638</v>
      </c>
      <c r="M42" s="369">
        <f>+I42/B42</f>
        <v>2.7495685185170951</v>
      </c>
    </row>
    <row r="45" spans="1:16" x14ac:dyDescent="0.25">
      <c r="A45" s="328" t="s">
        <v>36</v>
      </c>
      <c r="B45" s="327">
        <v>0.33</v>
      </c>
      <c r="D45" t="s">
        <v>223</v>
      </c>
      <c r="E45" s="334">
        <v>0.08</v>
      </c>
    </row>
    <row r="46" spans="1:16" x14ac:dyDescent="0.25">
      <c r="A46" s="328" t="s">
        <v>37</v>
      </c>
      <c r="B46" s="327">
        <v>0.19400000000000001</v>
      </c>
      <c r="D46" t="s">
        <v>224</v>
      </c>
      <c r="E46" s="334">
        <v>0.03</v>
      </c>
    </row>
    <row r="47" spans="1:16" x14ac:dyDescent="0.25">
      <c r="A47" s="328" t="s">
        <v>40</v>
      </c>
      <c r="B47" s="327">
        <v>0.11700000000000001</v>
      </c>
      <c r="D47" t="s">
        <v>225</v>
      </c>
      <c r="E47" s="334">
        <v>7.0000000000000007E-2</v>
      </c>
    </row>
    <row r="48" spans="1:16" x14ac:dyDescent="0.25">
      <c r="A48" s="328" t="s">
        <v>38</v>
      </c>
      <c r="B48" s="327">
        <v>0.11899999999999999</v>
      </c>
      <c r="D48" t="s">
        <v>234</v>
      </c>
      <c r="E48" s="334">
        <v>0.82</v>
      </c>
    </row>
    <row r="49" spans="1:9" x14ac:dyDescent="0.25">
      <c r="A49" s="328" t="s">
        <v>43</v>
      </c>
      <c r="B49" s="327">
        <v>5.3999999999999999E-2</v>
      </c>
    </row>
    <row r="50" spans="1:9" x14ac:dyDescent="0.25">
      <c r="A50" s="328" t="s">
        <v>41</v>
      </c>
      <c r="B50" s="327">
        <v>0.06</v>
      </c>
    </row>
    <row r="51" spans="1:9" x14ac:dyDescent="0.25">
      <c r="A51" s="328" t="s">
        <v>44</v>
      </c>
      <c r="B51" s="327">
        <v>0.05</v>
      </c>
    </row>
    <row r="52" spans="1:9" x14ac:dyDescent="0.25">
      <c r="A52" s="328" t="s">
        <v>39</v>
      </c>
      <c r="B52" s="327">
        <v>3.7999999999999999E-2</v>
      </c>
    </row>
    <row r="53" spans="1:9" x14ac:dyDescent="0.25">
      <c r="A53" s="328" t="s">
        <v>157</v>
      </c>
      <c r="B53" s="327">
        <v>3.7999999999999812E-2</v>
      </c>
    </row>
    <row r="55" spans="1:9" x14ac:dyDescent="0.25">
      <c r="B55" t="str">
        <f t="shared" ref="B55:G55" si="7">B41</f>
        <v>FY19</v>
      </c>
      <c r="C55" t="str">
        <f t="shared" si="7"/>
        <v>FY20</v>
      </c>
      <c r="D55" t="str">
        <f t="shared" si="7"/>
        <v>FY21</v>
      </c>
      <c r="E55" t="str">
        <f t="shared" si="7"/>
        <v>FY22</v>
      </c>
      <c r="F55" t="str">
        <f t="shared" si="7"/>
        <v>FY23</v>
      </c>
      <c r="G55" t="str">
        <f t="shared" si="7"/>
        <v>FY24</v>
      </c>
      <c r="H55" t="s">
        <v>239</v>
      </c>
      <c r="I55" t="s">
        <v>282</v>
      </c>
    </row>
    <row r="56" spans="1:9" x14ac:dyDescent="0.25">
      <c r="A56" s="328" t="str">
        <f>+'[1]Yields, Margins &amp; Ratios'!B5</f>
        <v xml:space="preserve">Yield </v>
      </c>
      <c r="B56" s="327">
        <f>'Yields, Margins &amp; Ratios'!Y5</f>
        <v>0.13750000000000001</v>
      </c>
      <c r="C56" s="327">
        <f>'Yields, Margins &amp; Ratios'!Z5</f>
        <v>0.1363</v>
      </c>
      <c r="D56" s="327">
        <f>'Yields, Margins &amp; Ratios'!AA5</f>
        <v>0.13159999999999999</v>
      </c>
      <c r="E56" s="327">
        <f>'Yields, Margins &amp; Ratios'!AB5</f>
        <v>0.1265</v>
      </c>
      <c r="F56" s="327">
        <f>'Yields, Margins &amp; Ratios'!AC5</f>
        <v>0.13120000000000001</v>
      </c>
      <c r="G56" s="327">
        <f>'Yields, Margins &amp; Ratios'!AD5</f>
        <v>0.1313</v>
      </c>
      <c r="H56" s="327">
        <f>'Yields, Margins &amp; Ratios'!AE5</f>
        <v>0.1313</v>
      </c>
      <c r="I56" s="327">
        <f>'Yields, Margins &amp; Ratios'!AF5</f>
        <v>0.12820000000000001</v>
      </c>
    </row>
    <row r="57" spans="1:9" x14ac:dyDescent="0.25">
      <c r="A57" s="328" t="str">
        <f>+'[1]Yields, Margins &amp; Ratios'!B6</f>
        <v>CoB</v>
      </c>
      <c r="B57" s="327">
        <f>'Yields, Margins &amp; Ratios'!Y6</f>
        <v>8.7400000000000005E-2</v>
      </c>
      <c r="C57" s="327">
        <f>'Yields, Margins &amp; Ratios'!Z6</f>
        <v>8.4400000000000003E-2</v>
      </c>
      <c r="D57" s="327">
        <f>'Yields, Margins &amp; Ratios'!AA6</f>
        <v>7.3999999999999996E-2</v>
      </c>
      <c r="E57" s="327">
        <f>'Yields, Margins &amp; Ratios'!AB6</f>
        <v>6.88E-2</v>
      </c>
      <c r="F57" s="327">
        <f>'Yields, Margins &amp; Ratios'!AC6</f>
        <v>7.6100000000000001E-2</v>
      </c>
      <c r="G57" s="327">
        <f>'Yields, Margins &amp; Ratios'!AD6</f>
        <v>8.0699999999999994E-2</v>
      </c>
      <c r="H57" s="327">
        <f>'Yields, Margins &amp; Ratios'!AE6</f>
        <v>8.2400000000000001E-2</v>
      </c>
      <c r="I57" s="327">
        <f>'Yields, Margins &amp; Ratios'!AF6</f>
        <v>7.6200000000000004E-2</v>
      </c>
    </row>
    <row r="58" spans="1:9" x14ac:dyDescent="0.25">
      <c r="A58" s="328" t="str">
        <f>+'[1]Yields, Margins &amp; Ratios'!B7</f>
        <v>Spread</v>
      </c>
      <c r="B58" s="327">
        <f>'Yields, Margins &amp; Ratios'!Y7</f>
        <v>5.0100000000000006E-2</v>
      </c>
      <c r="C58" s="327">
        <f>'Yields, Margins &amp; Ratios'!Z7</f>
        <v>5.1900000000000002E-2</v>
      </c>
      <c r="D58" s="327">
        <f>'Yields, Margins &amp; Ratios'!AA7</f>
        <v>5.7599999999999998E-2</v>
      </c>
      <c r="E58" s="327">
        <f>'Yields, Margins &amp; Ratios'!AB7</f>
        <v>5.7700000000000001E-2</v>
      </c>
      <c r="F58" s="327">
        <f>'Yields, Margins &amp; Ratios'!AC7</f>
        <v>5.510000000000001E-2</v>
      </c>
      <c r="G58" s="327">
        <f>'Yields, Margins &amp; Ratios'!AD7</f>
        <v>5.0600000000000006E-2</v>
      </c>
      <c r="H58" s="327">
        <f>'Yields, Margins &amp; Ratios'!AE7</f>
        <v>4.8899999999999999E-2</v>
      </c>
      <c r="I58" s="327">
        <f>'Yields, Margins &amp; Ratios'!AF7</f>
        <v>5.1999999999999998E-2</v>
      </c>
    </row>
    <row r="59" spans="1:9" x14ac:dyDescent="0.25">
      <c r="B59" s="327"/>
      <c r="C59" s="327"/>
      <c r="D59" s="327"/>
      <c r="E59" s="327"/>
      <c r="F59" s="327"/>
      <c r="G59" s="327"/>
      <c r="H59" s="332"/>
    </row>
    <row r="60" spans="1:9" x14ac:dyDescent="0.25">
      <c r="B60" t="str">
        <f>+B55</f>
        <v>FY19</v>
      </c>
      <c r="C60" t="str">
        <f t="shared" ref="C60:I60" si="8">+C55</f>
        <v>FY20</v>
      </c>
      <c r="D60" t="str">
        <f t="shared" si="8"/>
        <v>FY21</v>
      </c>
      <c r="E60" t="str">
        <f t="shared" si="8"/>
        <v>FY22</v>
      </c>
      <c r="F60" t="str">
        <f t="shared" si="8"/>
        <v>FY23</v>
      </c>
      <c r="G60" t="str">
        <f t="shared" si="8"/>
        <v>FY24</v>
      </c>
      <c r="H60" t="str">
        <f t="shared" si="8"/>
        <v>FY25</v>
      </c>
      <c r="I60" t="str">
        <f t="shared" si="8"/>
        <v>FY26</v>
      </c>
    </row>
    <row r="61" spans="1:9" x14ac:dyDescent="0.25">
      <c r="A61" s="328" t="str">
        <f>+'[1]Yields, Margins &amp; Ratios'!B14</f>
        <v>Operating Expenses to Average Total Assets</v>
      </c>
      <c r="B61" s="327">
        <f>'Yields, Margins &amp; Ratios'!Y14</f>
        <v>3.8087267389458938E-2</v>
      </c>
      <c r="C61" s="327">
        <f>'Yields, Margins &amp; Ratios'!Z14</f>
        <v>3.3836244100375334E-2</v>
      </c>
      <c r="D61" s="327">
        <f>'Yields, Margins &amp; Ratios'!AA14</f>
        <v>3.0142494856793128E-2</v>
      </c>
      <c r="E61" s="327">
        <f>'Yields, Margins &amp; Ratios'!AB14</f>
        <v>3.4521773805203888E-2</v>
      </c>
      <c r="F61" s="327">
        <f>'Yields, Margins &amp; Ratios'!AC14</f>
        <v>3.6884522891153008E-2</v>
      </c>
      <c r="G61" s="327">
        <f>'Yields, Margins &amp; Ratios'!AD14</f>
        <v>3.5780192601668419E-2</v>
      </c>
      <c r="H61" s="327">
        <f>'Yields, Margins &amp; Ratios'!AE14</f>
        <v>3.3178326125141017E-2</v>
      </c>
      <c r="I61" s="327">
        <f>'Yields, Margins &amp; Ratios'!AF14</f>
        <v>3.5426652003503339E-2</v>
      </c>
    </row>
    <row r="62" spans="1:9" x14ac:dyDescent="0.25">
      <c r="A62" s="328" t="str">
        <f>+'[1]Yields, Margins &amp; Ratios'!B23</f>
        <v>Operating expenses / AUM</v>
      </c>
      <c r="B62" s="327">
        <f>'Yields, Margins &amp; Ratios'!Y23</f>
        <v>3.6764908172388214E-2</v>
      </c>
      <c r="C62" s="327">
        <f>'Yields, Margins &amp; Ratios'!Z23</f>
        <v>3.2718363899950358E-2</v>
      </c>
      <c r="D62" s="327">
        <f>'Yields, Margins &amp; Ratios'!AA23</f>
        <v>2.903584664460861E-2</v>
      </c>
      <c r="E62" s="327">
        <f>'Yields, Margins &amp; Ratios'!AB23</f>
        <v>3.3154352130747758E-2</v>
      </c>
      <c r="F62" s="327">
        <f>'Yields, Margins &amp; Ratios'!AC23</f>
        <v>3.5314773245566103E-2</v>
      </c>
      <c r="G62" s="327">
        <f>'Yields, Margins &amp; Ratios'!AD23</f>
        <v>3.4019191326230359E-2</v>
      </c>
      <c r="H62" s="327">
        <f>'Yields, Margins &amp; Ratios'!AE23</f>
        <v>3.0896645007626511E-2</v>
      </c>
      <c r="I62" s="327">
        <f>'Yields, Margins &amp; Ratios'!AF23</f>
        <v>3.2163606676978714E-2</v>
      </c>
    </row>
    <row r="65" spans="1:9" x14ac:dyDescent="0.25">
      <c r="B65" t="str">
        <f>+B60</f>
        <v>FY19</v>
      </c>
      <c r="C65" t="str">
        <f t="shared" ref="C65:I65" si="9">+C60</f>
        <v>FY20</v>
      </c>
      <c r="D65" t="str">
        <f t="shared" si="9"/>
        <v>FY21</v>
      </c>
      <c r="E65" t="str">
        <f t="shared" si="9"/>
        <v>FY22</v>
      </c>
      <c r="F65" t="str">
        <f t="shared" si="9"/>
        <v>FY23</v>
      </c>
      <c r="G65" t="str">
        <f t="shared" si="9"/>
        <v>FY24</v>
      </c>
      <c r="H65" t="str">
        <f t="shared" si="9"/>
        <v>FY25</v>
      </c>
      <c r="I65" t="str">
        <f t="shared" si="9"/>
        <v>FY26</v>
      </c>
    </row>
    <row r="66" spans="1:9" x14ac:dyDescent="0.25">
      <c r="A66" s="328" t="s">
        <v>232</v>
      </c>
      <c r="B66" s="327">
        <f>'Yields, Margins &amp; Ratios'!Y17</f>
        <v>3.6394700938653768E-2</v>
      </c>
      <c r="C66" s="327">
        <f>'Yields, Margins &amp; Ratios'!Z17</f>
        <v>3.7507207706386318E-2</v>
      </c>
      <c r="D66" s="327">
        <f>'Yields, Margins &amp; Ratios'!AA17</f>
        <v>3.4943518367474329E-2</v>
      </c>
      <c r="E66" s="327">
        <f>'Yields, Margins &amp; Ratios'!AB17</f>
        <v>3.5785812604760527E-2</v>
      </c>
      <c r="F66" s="327">
        <f>'Yields, Margins &amp; Ratios'!AC17</f>
        <v>3.5060383763054009E-2</v>
      </c>
      <c r="G66" s="327">
        <f>'Yields, Margins &amp; Ratios'!AD17</f>
        <v>3.2802034326768065E-2</v>
      </c>
      <c r="H66" s="327">
        <f>'Yields, Margins &amp; Ratios'!AE17</f>
        <v>3.2690874198760697E-2</v>
      </c>
      <c r="I66" s="327">
        <f>'Yields, Margins &amp; Ratios'!AF17</f>
        <v>3.2918549272320283E-2</v>
      </c>
    </row>
    <row r="67" spans="1:9" x14ac:dyDescent="0.25">
      <c r="A67" s="328" t="s">
        <v>233</v>
      </c>
      <c r="B67" s="327">
        <f>'Yields, Margins &amp; Ratios'!Y19</f>
        <v>0.11623420350800928</v>
      </c>
      <c r="C67" s="327">
        <f>'Yields, Margins &amp; Ratios'!Z19</f>
        <v>0.12662088337283461</v>
      </c>
      <c r="D67" s="327">
        <f>'Yields, Margins &amp; Ratios'!AA19</f>
        <v>0.12905417134585606</v>
      </c>
      <c r="E67" s="327">
        <f>'Yields, Margins &amp; Ratios'!AB19</f>
        <v>0.1372378740998757</v>
      </c>
      <c r="F67" s="327">
        <f>'Yields, Margins &amp; Ratios'!AC19</f>
        <v>0.14092044792113007</v>
      </c>
      <c r="G67" s="327">
        <f>'Yields, Margins &amp; Ratios'!AD19</f>
        <v>0.13939625743972156</v>
      </c>
      <c r="H67" s="327">
        <f>'Yields, Margins &amp; Ratios'!AE19</f>
        <v>0.14121818949730414</v>
      </c>
      <c r="I67" s="327">
        <f>'Yields, Margins &amp; Ratios'!AF19</f>
        <v>0.13931393984151488</v>
      </c>
    </row>
    <row r="71" spans="1:9" x14ac:dyDescent="0.25">
      <c r="A71" s="91" t="s">
        <v>118</v>
      </c>
      <c r="B71" s="327">
        <v>0.52019767903474201</v>
      </c>
    </row>
    <row r="72" spans="1:9" x14ac:dyDescent="0.25">
      <c r="A72" s="87" t="s">
        <v>119</v>
      </c>
      <c r="B72" s="327">
        <v>0.27301516595667996</v>
      </c>
    </row>
    <row r="73" spans="1:9" x14ac:dyDescent="0.25">
      <c r="A73" s="87" t="s">
        <v>120</v>
      </c>
      <c r="B73" s="327">
        <v>0.10702157100932831</v>
      </c>
    </row>
    <row r="74" spans="1:9" x14ac:dyDescent="0.25">
      <c r="A74" s="87" t="s">
        <v>121</v>
      </c>
      <c r="B74" s="327">
        <v>9.0610120515073458E-2</v>
      </c>
    </row>
    <row r="75" spans="1:9" x14ac:dyDescent="0.25">
      <c r="A75" s="87" t="s">
        <v>122</v>
      </c>
      <c r="B75" s="327">
        <v>9.1554634841762659E-3</v>
      </c>
    </row>
  </sheetData>
  <printOptions horizontalCentered="1"/>
  <pageMargins left="0.7" right="0.7" top="0.75" bottom="0.75" header="0.3" footer="0.3"/>
  <pageSetup orientation="portrait" r:id="rId1"/>
  <headerFooter>
    <oddHeader>&amp;L&amp;"Calibri"&amp;11&amp;K008061 PRIVATE</oddHeader>
    <oddFooter>&amp;L&amp;"Calibri"&amp;11&amp;K008061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7 m V V W s i A H 7 C m A A A A 9 w A A A B I A H A B D b 2 5 m a W c v U G F j a 2 F n Z S 5 4 b W w g o h g A K K A U A A A A A A A A A A A A A A A A A A A A A A A A A A A A h Y 8 x D o I w G I W v Q r r T F h g E U s r g Z C L G x M S 4 N q V C I / w Y W i x 3 c / B I X k G M o m 6 O 7 3 v f 8 N 7 9 e m P 5 2 D b e R f V G d 5 C h A F P k K Z B d q a H K 0 G C P f o x y z r Z C n k S l v E k G k 4 6 m z F B t 7 T k l x D m H X Y S 7 v i I h p Q E 5 F O u d r F U r 0 E f W / 2 V f g 7 E C p E K c 7 V 9 j e I i D K M F B v E g w Z W S m r N D w N c J p 8 L P 9 g W w 5 N H b o F V f g r z a M z J G R 9 w n + A F B L A w Q U A A I A C A D u Z V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m V V W i i K R 7 g O A A A A E Q A A A B M A H A B G b 3 J t d W x h c y 9 T Z W N 0 a W 9 u M S 5 t I K I Y A C i g F A A A A A A A A A A A A A A A A A A A A A A A A A A A A C t O T S 7 J z M 9 T C I b Q h t Y A U E s B A i 0 A F A A C A A g A 7 m V V W s i A H 7 C m A A A A 9 w A A A B I A A A A A A A A A A A A A A A A A A A A A A E N v b m Z p Z y 9 Q Y W N r Y W d l L n h t b F B L A Q I t A B Q A A g A I A O 5 l V V o P y u m r p A A A A O k A A A A T A A A A A A A A A A A A A A A A A P I A A A B b Q 2 9 u d G V u d F 9 U e X B l c 1 0 u e G 1 s U E s B A i 0 A F A A C A A g A 7 m V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x s + B S r s j p H v d e n v i P 3 d k Y A A A A A A g A A A A A A A 2 Y A A M A A A A A Q A A A A I H S Q W V r M K a i M O U G W w e a K A Q A A A A A E g A A A o A A A A B A A A A B 1 c l O 4 a 8 i U M t P G 8 k I E Z Q B 1 U A A A A J l h o y S F 1 w M u I k T 7 j e T g 1 k 5 E h 4 D v T n i + T N N T d v w C q i F 2 1 i H + k W v y d B z g y N g J k a R o y E f 0 p f m + a 0 B 3 L P Y n g A Z I r s 7 k 6 E e X k l Q T b 0 R / 9 H 8 h Q L w M F A A A A O A 4 Z + k x d v 0 b Y Y r H 0 b w q R g y 9 P G J L < / D a t a M a s h u p > 
</file>

<file path=customXml/item2.xml><?xml version="1.0" encoding="utf-8"?>
<Klassify>
  <SNO>1</SNO>
  <KDate>2024-03-26 20:11:53</KDate>
  <Classification>PRIVATE</Classification>
  <Subclassification/>
  <HostName>MH-AFL1882</HostName>
  <Domain_User>AAVAS/rakesh.shinde</Domain_User>
  <IPAdd>192.168.29.225</IPAdd>
  <FilePath>C:\Users\rakesh.shinde\AppData\Roaming\Klassify\17621\ISFC Factsheet_Q3FY24.xlsx</FilePath>
  <KID>C475ABCF099A638470807132570251</KID>
  <UniqueName>Indian Uniform Bank Account Number</UniqueName>
  <Suggested>PRIVATE</Suggested>
</Klassify>
</file>

<file path=customXml/itemProps1.xml><?xml version="1.0" encoding="utf-8"?>
<ds:datastoreItem xmlns:ds="http://schemas.openxmlformats.org/officeDocument/2006/customXml" ds:itemID="{FC59A90F-4FC6-47C5-9407-55BAAC8D000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Index</vt:lpstr>
      <vt:lpstr>Print Page</vt:lpstr>
      <vt:lpstr>P&amp;L</vt:lpstr>
      <vt:lpstr>BS</vt:lpstr>
      <vt:lpstr>Operational</vt:lpstr>
      <vt:lpstr>Credit Quality</vt:lpstr>
      <vt:lpstr>Yields, Margins &amp; Ratios</vt:lpstr>
      <vt:lpstr>Liabilities</vt:lpstr>
      <vt:lpstr>Data for Charts</vt:lpstr>
      <vt:lpstr>Story in Charts</vt:lpstr>
      <vt:lpstr>'Print Page'!Print_Area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Rajagopalan</dc:creator>
  <cp:keywords>PRIVATE</cp:keywords>
  <dc:description/>
  <cp:lastModifiedBy>OMKAR KAMTEKAR</cp:lastModifiedBy>
  <cp:revision/>
  <cp:lastPrinted>2026-07-17T08:09:23Z</cp:lastPrinted>
  <dcterms:created xsi:type="dcterms:W3CDTF">2023-10-25T10:26:38Z</dcterms:created>
  <dcterms:modified xsi:type="dcterms:W3CDTF">2026-07-21T10:24:27Z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PRIVATE</vt:lpwstr>
  </property>
  <property fmtid="{D5CDD505-2E9C-101B-9397-08002B2CF9AE}" pid="3" name="KID">
    <vt:lpwstr>C475ABCF099A638470807132570251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Suggested_Category">
    <vt:lpwstr>PRIVATE</vt:lpwstr>
  </property>
</Properties>
</file>