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9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30\Investor Relations\Quarterly results\fy26\Q1FY26\12.08.25\"/>
    </mc:Choice>
  </mc:AlternateContent>
  <xr:revisionPtr revIDLastSave="0" documentId="13_ncr:1_{25F374F5-38D6-4127-8952-08CCFC3F1F84}" xr6:coauthVersionLast="47" xr6:coauthVersionMax="47" xr10:uidLastSave="{00000000-0000-0000-0000-000000000000}"/>
  <bookViews>
    <workbookView xWindow="-120" yWindow="-120" windowWidth="20730" windowHeight="11160" tabRatio="702" xr2:uid="{00000000-000D-0000-FFFF-FFFF00000000}"/>
  </bookViews>
  <sheets>
    <sheet name="Index" sheetId="3" r:id="rId1"/>
    <sheet name="Data for Charts" sheetId="24" state="hidden" r:id="rId2"/>
    <sheet name="P&amp;L" sheetId="18" r:id="rId3"/>
    <sheet name="BS" sheetId="21" r:id="rId4"/>
    <sheet name="Operational" sheetId="9" r:id="rId5"/>
    <sheet name="Credit Quality" sheetId="22" r:id="rId6"/>
    <sheet name="Yields, Margins &amp; Ratios" sheetId="20" r:id="rId7"/>
    <sheet name="Liabilities" sheetId="7" r:id="rId8"/>
    <sheet name="Story in Charts" sheetId="23" r:id="rId9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0" i="7" l="1"/>
  <c r="S19" i="7"/>
  <c r="S18" i="7"/>
  <c r="S17" i="7"/>
  <c r="S16" i="7"/>
  <c r="S15" i="7"/>
  <c r="S10" i="7"/>
  <c r="S24" i="20" l="1"/>
  <c r="S22" i="20"/>
  <c r="S15" i="22"/>
  <c r="S14" i="22"/>
  <c r="S20" i="21"/>
  <c r="S8" i="21"/>
  <c r="S28" i="20" s="1"/>
  <c r="S19" i="20" s="1"/>
  <c r="U25" i="18"/>
  <c r="U24" i="18"/>
  <c r="U23" i="18"/>
  <c r="U21" i="18"/>
  <c r="U19" i="18"/>
  <c r="U18" i="18"/>
  <c r="U17" i="18"/>
  <c r="U16" i="18"/>
  <c r="U14" i="18"/>
  <c r="U13" i="18"/>
  <c r="U9" i="18"/>
  <c r="U8" i="18"/>
  <c r="U7" i="18"/>
  <c r="U6" i="18"/>
  <c r="U5" i="18"/>
  <c r="T25" i="18"/>
  <c r="T24" i="18"/>
  <c r="T23" i="18"/>
  <c r="T21" i="18"/>
  <c r="T19" i="18"/>
  <c r="T18" i="18"/>
  <c r="T17" i="18"/>
  <c r="T16" i="18"/>
  <c r="T14" i="18"/>
  <c r="T13" i="18"/>
  <c r="T9" i="18"/>
  <c r="T8" i="18"/>
  <c r="T7" i="18"/>
  <c r="T6" i="18"/>
  <c r="T5" i="18"/>
  <c r="S7" i="20"/>
  <c r="S30" i="20"/>
  <c r="S29" i="20"/>
  <c r="S23" i="20" s="1"/>
  <c r="S27" i="20"/>
  <c r="S11" i="20" s="1"/>
  <c r="S12" i="20" l="1"/>
  <c r="S13" i="20"/>
  <c r="S16" i="20"/>
  <c r="S14" i="20"/>
  <c r="S15" i="20"/>
  <c r="S9" i="22" s="1"/>
  <c r="S17" i="20"/>
  <c r="S10" i="20"/>
  <c r="S12" i="21"/>
  <c r="S18" i="20"/>
  <c r="S63" i="9"/>
  <c r="S56" i="9"/>
  <c r="S61" i="9"/>
  <c r="A13" i="3"/>
  <c r="A14" i="3" s="1"/>
  <c r="A15" i="3" s="1"/>
  <c r="A12" i="3"/>
  <c r="A11" i="3"/>
  <c r="H42" i="24" l="1"/>
  <c r="H37" i="24"/>
  <c r="H38" i="24"/>
  <c r="O32" i="24"/>
  <c r="B1" i="24"/>
  <c r="B8" i="24" s="1"/>
  <c r="I20" i="24"/>
  <c r="I21" i="24" s="1"/>
  <c r="H24" i="24"/>
  <c r="H25" i="24"/>
  <c r="H26" i="24"/>
  <c r="H67" i="24"/>
  <c r="X64" i="9"/>
  <c r="AA63" i="9"/>
  <c r="R63" i="9"/>
  <c r="R61" i="9"/>
  <c r="AA61" i="9"/>
  <c r="H58" i="24"/>
  <c r="H57" i="24"/>
  <c r="H56" i="24"/>
  <c r="H62" i="24"/>
  <c r="H41" i="24"/>
  <c r="J37" i="24"/>
  <c r="I38" i="24"/>
  <c r="M9" i="24"/>
  <c r="M10" i="24"/>
  <c r="M11" i="24"/>
  <c r="M3" i="24"/>
  <c r="M2" i="24"/>
  <c r="M1" i="24"/>
  <c r="M8" i="24" s="1"/>
  <c r="O6" i="24"/>
  <c r="Q6" i="24" s="1"/>
  <c r="AA56" i="9"/>
  <c r="R56" i="9"/>
  <c r="S64" i="9" s="1"/>
  <c r="H27" i="24"/>
  <c r="H66" i="24"/>
  <c r="H61" i="24"/>
  <c r="C63" i="9"/>
  <c r="C61" i="9"/>
  <c r="G63" i="9"/>
  <c r="F63" i="9"/>
  <c r="E63" i="9"/>
  <c r="D63" i="9"/>
  <c r="G61" i="9"/>
  <c r="F61" i="9"/>
  <c r="E61" i="9"/>
  <c r="D61" i="9"/>
  <c r="C56" i="9"/>
  <c r="C62" i="9" s="1"/>
  <c r="D56" i="9"/>
  <c r="E56" i="9"/>
  <c r="F64" i="9" s="1"/>
  <c r="F56" i="9"/>
  <c r="G64" i="9" s="1"/>
  <c r="F38" i="9"/>
  <c r="F39" i="9" s="1"/>
  <c r="E38" i="9"/>
  <c r="E39" i="9" s="1"/>
  <c r="D38" i="9"/>
  <c r="D39" i="9" s="1"/>
  <c r="C38" i="9"/>
  <c r="C39" i="9" s="1"/>
  <c r="C67" i="24"/>
  <c r="D67" i="24"/>
  <c r="E67" i="24"/>
  <c r="F67" i="24"/>
  <c r="G67" i="24"/>
  <c r="B67" i="24"/>
  <c r="C66" i="24"/>
  <c r="D66" i="24"/>
  <c r="E66" i="24"/>
  <c r="F66" i="24"/>
  <c r="G66" i="24"/>
  <c r="B66" i="24"/>
  <c r="H60" i="24"/>
  <c r="H65" i="24"/>
  <c r="C62" i="24"/>
  <c r="D62" i="24"/>
  <c r="E62" i="24"/>
  <c r="F62" i="24"/>
  <c r="G62" i="24"/>
  <c r="B62" i="24"/>
  <c r="C61" i="24"/>
  <c r="D61" i="24"/>
  <c r="E61" i="24"/>
  <c r="F61" i="24"/>
  <c r="G61" i="24"/>
  <c r="B61" i="24"/>
  <c r="A62" i="24"/>
  <c r="A61" i="24"/>
  <c r="C56" i="24"/>
  <c r="D56" i="24"/>
  <c r="E56" i="24"/>
  <c r="F56" i="24"/>
  <c r="G56" i="24"/>
  <c r="C57" i="24"/>
  <c r="D57" i="24"/>
  <c r="E57" i="24"/>
  <c r="F57" i="24"/>
  <c r="G57" i="24"/>
  <c r="C58" i="24"/>
  <c r="D58" i="24"/>
  <c r="E58" i="24"/>
  <c r="F58" i="24"/>
  <c r="G58" i="24"/>
  <c r="B57" i="24"/>
  <c r="B58" i="24"/>
  <c r="B56" i="24"/>
  <c r="C55" i="24"/>
  <c r="C60" i="24" s="1"/>
  <c r="C65" i="24" s="1"/>
  <c r="D55" i="24"/>
  <c r="D60" i="24" s="1"/>
  <c r="D65" i="24" s="1"/>
  <c r="E55" i="24"/>
  <c r="E60" i="24" s="1"/>
  <c r="E65" i="24" s="1"/>
  <c r="F55" i="24"/>
  <c r="F60" i="24" s="1"/>
  <c r="F65" i="24" s="1"/>
  <c r="G55" i="24"/>
  <c r="G60" i="24" s="1"/>
  <c r="G65" i="24" s="1"/>
  <c r="B55" i="24"/>
  <c r="B60" i="24" s="1"/>
  <c r="B65" i="24" s="1"/>
  <c r="A58" i="24"/>
  <c r="A57" i="24"/>
  <c r="A56" i="24"/>
  <c r="C38" i="24"/>
  <c r="J38" i="24" s="1"/>
  <c r="D38" i="24"/>
  <c r="E38" i="24"/>
  <c r="F38" i="24"/>
  <c r="G38" i="24"/>
  <c r="B38" i="24"/>
  <c r="C37" i="24"/>
  <c r="D37" i="24"/>
  <c r="E37" i="24"/>
  <c r="F37" i="24"/>
  <c r="G37" i="24"/>
  <c r="B37" i="24"/>
  <c r="C42" i="24"/>
  <c r="I42" i="24" s="1"/>
  <c r="D42" i="24"/>
  <c r="E42" i="24"/>
  <c r="F42" i="24"/>
  <c r="G42" i="24"/>
  <c r="B42" i="24"/>
  <c r="C41" i="24"/>
  <c r="D41" i="24"/>
  <c r="E41" i="24"/>
  <c r="F41" i="24"/>
  <c r="G41" i="24"/>
  <c r="B41" i="24"/>
  <c r="C25" i="24"/>
  <c r="D25" i="24"/>
  <c r="E25" i="24"/>
  <c r="F25" i="24"/>
  <c r="G25" i="24"/>
  <c r="C26" i="24"/>
  <c r="D26" i="24"/>
  <c r="E26" i="24"/>
  <c r="F26" i="24"/>
  <c r="G26" i="24"/>
  <c r="C27" i="24"/>
  <c r="D27" i="24"/>
  <c r="E27" i="24"/>
  <c r="F27" i="24"/>
  <c r="G27" i="24"/>
  <c r="B27" i="24"/>
  <c r="B26" i="24"/>
  <c r="B25" i="24"/>
  <c r="C24" i="24"/>
  <c r="D24" i="24"/>
  <c r="E24" i="24"/>
  <c r="F24" i="24"/>
  <c r="G24" i="24"/>
  <c r="B24" i="24"/>
  <c r="C23" i="24"/>
  <c r="C36" i="24"/>
  <c r="D23" i="24"/>
  <c r="D36" i="24"/>
  <c r="E23" i="24"/>
  <c r="E36" i="24"/>
  <c r="F23" i="24"/>
  <c r="F36" i="24"/>
  <c r="G23" i="24"/>
  <c r="G36" i="24"/>
  <c r="H23" i="24"/>
  <c r="B23" i="24"/>
  <c r="B36" i="24"/>
  <c r="D15" i="24"/>
  <c r="E15" i="24"/>
  <c r="F15" i="24"/>
  <c r="G15" i="24"/>
  <c r="C15" i="24"/>
  <c r="L14" i="24"/>
  <c r="K14" i="24"/>
  <c r="L15" i="24" s="1"/>
  <c r="J14" i="24"/>
  <c r="I14" i="24"/>
  <c r="H14" i="24"/>
  <c r="H15" i="24" s="1"/>
  <c r="M14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B13" i="24"/>
  <c r="D33" i="24"/>
  <c r="E33" i="24"/>
  <c r="F33" i="24"/>
  <c r="G33" i="24"/>
  <c r="H33" i="24"/>
  <c r="C33" i="24"/>
  <c r="M32" i="24"/>
  <c r="L32" i="24"/>
  <c r="K32" i="24"/>
  <c r="J32" i="24"/>
  <c r="I32" i="24"/>
  <c r="I33" i="24"/>
  <c r="N32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B31" i="24"/>
  <c r="D20" i="24"/>
  <c r="D21" i="24" s="1"/>
  <c r="E20" i="24"/>
  <c r="E21" i="24" s="1"/>
  <c r="F20" i="24"/>
  <c r="F21" i="24" s="1"/>
  <c r="G20" i="24"/>
  <c r="G21" i="24" s="1"/>
  <c r="H20" i="24"/>
  <c r="H21" i="24" s="1"/>
  <c r="C20" i="24"/>
  <c r="C21" i="24" s="1"/>
  <c r="B21" i="24"/>
  <c r="B9" i="24"/>
  <c r="C9" i="24"/>
  <c r="D9" i="24"/>
  <c r="E9" i="24"/>
  <c r="F9" i="24"/>
  <c r="G9" i="24"/>
  <c r="H9" i="24"/>
  <c r="I9" i="24"/>
  <c r="J9" i="24"/>
  <c r="K9" i="24"/>
  <c r="L9" i="24"/>
  <c r="B10" i="24"/>
  <c r="C10" i="24"/>
  <c r="D10" i="24"/>
  <c r="E10" i="24"/>
  <c r="F10" i="24"/>
  <c r="G10" i="24"/>
  <c r="H10" i="24"/>
  <c r="I10" i="24"/>
  <c r="J10" i="24"/>
  <c r="K10" i="24"/>
  <c r="L10" i="24"/>
  <c r="B11" i="24"/>
  <c r="C11" i="24"/>
  <c r="D11" i="24"/>
  <c r="E11" i="24"/>
  <c r="F11" i="24"/>
  <c r="G11" i="24"/>
  <c r="H11" i="24"/>
  <c r="I11" i="24"/>
  <c r="J11" i="24"/>
  <c r="K11" i="24"/>
  <c r="L11" i="24"/>
  <c r="E1" i="24"/>
  <c r="E8" i="24" s="1"/>
  <c r="D1" i="24"/>
  <c r="D8" i="24" s="1"/>
  <c r="C1" i="24"/>
  <c r="C8" i="24" s="1"/>
  <c r="G1" i="24"/>
  <c r="G8" i="24" s="1"/>
  <c r="H1" i="24"/>
  <c r="H8" i="24" s="1"/>
  <c r="I1" i="24"/>
  <c r="I8" i="24" s="1"/>
  <c r="J1" i="24"/>
  <c r="J8" i="24" s="1"/>
  <c r="K1" i="24"/>
  <c r="K8" i="24" s="1"/>
  <c r="L1" i="24"/>
  <c r="L8" i="24" s="1"/>
  <c r="F1" i="24"/>
  <c r="F8" i="24" s="1"/>
  <c r="Q13" i="9"/>
  <c r="Z64" i="9"/>
  <c r="Y64" i="9"/>
  <c r="W64" i="9"/>
  <c r="V64" i="9"/>
  <c r="Q64" i="9"/>
  <c r="P64" i="9"/>
  <c r="O64" i="9"/>
  <c r="N64" i="9"/>
  <c r="M64" i="9"/>
  <c r="L64" i="9"/>
  <c r="K64" i="9"/>
  <c r="J64" i="9"/>
  <c r="I64" i="9"/>
  <c r="H64" i="9"/>
  <c r="Z63" i="9"/>
  <c r="W63" i="9"/>
  <c r="X63" i="9"/>
  <c r="Y63" i="9"/>
  <c r="V63" i="9"/>
  <c r="W62" i="9"/>
  <c r="X62" i="9"/>
  <c r="Y62" i="9"/>
  <c r="Z62" i="9"/>
  <c r="V62" i="9"/>
  <c r="W60" i="9"/>
  <c r="X60" i="9"/>
  <c r="Y60" i="9"/>
  <c r="Z60" i="9"/>
  <c r="W61" i="9"/>
  <c r="X61" i="9"/>
  <c r="Y61" i="9"/>
  <c r="Z61" i="9"/>
  <c r="V61" i="9"/>
  <c r="V60" i="9"/>
  <c r="I62" i="9"/>
  <c r="J62" i="9"/>
  <c r="K62" i="9"/>
  <c r="L62" i="9"/>
  <c r="M62" i="9"/>
  <c r="N62" i="9"/>
  <c r="O62" i="9"/>
  <c r="P62" i="9"/>
  <c r="Q62" i="9"/>
  <c r="H62" i="9"/>
  <c r="I63" i="9"/>
  <c r="J63" i="9"/>
  <c r="K63" i="9"/>
  <c r="L63" i="9"/>
  <c r="M63" i="9"/>
  <c r="N63" i="9"/>
  <c r="O63" i="9"/>
  <c r="P63" i="9"/>
  <c r="Q63" i="9"/>
  <c r="H63" i="9"/>
  <c r="I61" i="9"/>
  <c r="J61" i="9"/>
  <c r="K61" i="9"/>
  <c r="L61" i="9"/>
  <c r="M61" i="9"/>
  <c r="N61" i="9"/>
  <c r="O61" i="9"/>
  <c r="P61" i="9"/>
  <c r="Q61" i="9"/>
  <c r="H61" i="9"/>
  <c r="P60" i="9"/>
  <c r="O60" i="9"/>
  <c r="N60" i="9"/>
  <c r="M60" i="9"/>
  <c r="L60" i="9"/>
  <c r="K60" i="9"/>
  <c r="J60" i="9"/>
  <c r="I60" i="9"/>
  <c r="H60" i="9"/>
  <c r="Q60" i="9"/>
  <c r="AA62" i="9" l="1"/>
  <c r="R62" i="9"/>
  <c r="M33" i="24"/>
  <c r="I37" i="24"/>
  <c r="R60" i="9"/>
  <c r="S62" i="9"/>
  <c r="S60" i="9"/>
  <c r="I15" i="24"/>
  <c r="O33" i="24"/>
  <c r="O34" i="24" s="1"/>
  <c r="N33" i="24"/>
  <c r="L33" i="24"/>
  <c r="K33" i="24"/>
  <c r="C60" i="9"/>
  <c r="E64" i="9"/>
  <c r="M15" i="24"/>
  <c r="K15" i="24"/>
  <c r="J15" i="24"/>
  <c r="N14" i="24"/>
  <c r="N15" i="24" s="1"/>
  <c r="D60" i="9"/>
  <c r="D62" i="9"/>
  <c r="D64" i="9"/>
  <c r="C64" i="9"/>
  <c r="E60" i="9"/>
  <c r="E62" i="9"/>
  <c r="F60" i="9"/>
  <c r="F62" i="9"/>
  <c r="AA64" i="9"/>
  <c r="AA60" i="9"/>
  <c r="G60" i="9"/>
  <c r="G62" i="9"/>
  <c r="R64" i="9"/>
  <c r="J33" i="24"/>
  <c r="J42" i="24"/>
</calcChain>
</file>

<file path=xl/sharedStrings.xml><?xml version="1.0" encoding="utf-8"?>
<sst xmlns="http://schemas.openxmlformats.org/spreadsheetml/2006/main" count="501" uniqueCount="255">
  <si>
    <t>Index</t>
  </si>
  <si>
    <t>Q1FY24</t>
  </si>
  <si>
    <t>Q2FY24</t>
  </si>
  <si>
    <t>Q3FY24</t>
  </si>
  <si>
    <t>YoY</t>
  </si>
  <si>
    <t>QoQ</t>
  </si>
  <si>
    <t>FY19</t>
  </si>
  <si>
    <t>FY20</t>
  </si>
  <si>
    <t>FY21</t>
  </si>
  <si>
    <t>FY22</t>
  </si>
  <si>
    <t>FY23</t>
  </si>
  <si>
    <t>Total Income</t>
  </si>
  <si>
    <t>Credit Cost</t>
  </si>
  <si>
    <t>Profit before Tax</t>
  </si>
  <si>
    <t>Tax Expense</t>
  </si>
  <si>
    <t>Profit after Tax</t>
  </si>
  <si>
    <t>June'23</t>
  </si>
  <si>
    <t>Sep'23</t>
  </si>
  <si>
    <t>Dec'23</t>
  </si>
  <si>
    <t>Sources of Funds</t>
  </si>
  <si>
    <t>Share Capital</t>
  </si>
  <si>
    <t>Reserves &amp; Surplus</t>
  </si>
  <si>
    <t xml:space="preserve">Borrowings </t>
  </si>
  <si>
    <t xml:space="preserve">Other liabilities &amp; provisions </t>
  </si>
  <si>
    <t>Total</t>
  </si>
  <si>
    <t>Application of Funds</t>
  </si>
  <si>
    <t>Loan Assets</t>
  </si>
  <si>
    <t>Investments</t>
  </si>
  <si>
    <t>Fixed Assets</t>
  </si>
  <si>
    <t>Liquid Assets</t>
  </si>
  <si>
    <t>Other Assets</t>
  </si>
  <si>
    <t xml:space="preserve">AUM </t>
  </si>
  <si>
    <t xml:space="preserve">Disbursements </t>
  </si>
  <si>
    <t>Self Employed</t>
  </si>
  <si>
    <t>Salaried</t>
  </si>
  <si>
    <t>State Wise AUM (%)</t>
  </si>
  <si>
    <t>Rajasthan</t>
  </si>
  <si>
    <t>Maharashtra</t>
  </si>
  <si>
    <t>Madhya Pradesh</t>
  </si>
  <si>
    <t>Karnataka</t>
  </si>
  <si>
    <t>Gujarat</t>
  </si>
  <si>
    <t>Uttar Pradesh</t>
  </si>
  <si>
    <t>Uttarakhand</t>
  </si>
  <si>
    <t>Delhi</t>
  </si>
  <si>
    <t>Haryana</t>
  </si>
  <si>
    <t>Chhattisgarh</t>
  </si>
  <si>
    <t>Punjab</t>
  </si>
  <si>
    <t>Orissa</t>
  </si>
  <si>
    <t>Geographic Distribution (branches)</t>
  </si>
  <si>
    <t>Operational</t>
  </si>
  <si>
    <t>No of States</t>
  </si>
  <si>
    <t>Total Employees</t>
  </si>
  <si>
    <t xml:space="preserve">Gross Stage 3 </t>
  </si>
  <si>
    <t>% Portfolio in Stage 3</t>
  </si>
  <si>
    <t>ECL Provision Stage 3</t>
  </si>
  <si>
    <t>Net Stage 3</t>
  </si>
  <si>
    <t xml:space="preserve">Provision Coverage Ration (PCR) – Stage 3 </t>
  </si>
  <si>
    <t>Gross Stage 2</t>
  </si>
  <si>
    <t>% Portfolio in Stage 2</t>
  </si>
  <si>
    <t>ECL Provision Stage 2</t>
  </si>
  <si>
    <t>Net Stage 2</t>
  </si>
  <si>
    <t xml:space="preserve">Provision Coverage Ration (PCR) – Stage 2 </t>
  </si>
  <si>
    <t>% Portfolio in Stage 1</t>
  </si>
  <si>
    <t>ECL Provision Stage 1</t>
  </si>
  <si>
    <t>Net Stage 1</t>
  </si>
  <si>
    <t>Gross Stage 1,2 &amp; 3</t>
  </si>
  <si>
    <t>ECL Provision</t>
  </si>
  <si>
    <t>Total ECL Provision (%)</t>
  </si>
  <si>
    <t xml:space="preserve">Yield </t>
  </si>
  <si>
    <t>CoB</t>
  </si>
  <si>
    <t>Spread</t>
  </si>
  <si>
    <t>RoE Tree</t>
  </si>
  <si>
    <t>Operating Expenses to Average Total Assets</t>
  </si>
  <si>
    <t>PBT to Average Total Assets</t>
  </si>
  <si>
    <t>ROA (PAT to Average Total Assets)</t>
  </si>
  <si>
    <t>Leverage (Average Total Assets to Average Net Worth)</t>
  </si>
  <si>
    <t>ROE (PAT to Average Net Worth)</t>
  </si>
  <si>
    <t>Ratios</t>
  </si>
  <si>
    <t>Cost to Income</t>
  </si>
  <si>
    <t>Operating expenses / AUM</t>
  </si>
  <si>
    <t>CRAR (%)</t>
  </si>
  <si>
    <t>Avg Total Assets</t>
  </si>
  <si>
    <t>Avg Net Worth</t>
  </si>
  <si>
    <t>Avg AUM</t>
  </si>
  <si>
    <t>Avg Borrowing</t>
  </si>
  <si>
    <t>Total Borrowings</t>
  </si>
  <si>
    <t>Long Term Credit Rating (Standalone)</t>
  </si>
  <si>
    <t>CARE</t>
  </si>
  <si>
    <t>ICRA</t>
  </si>
  <si>
    <t>NII</t>
  </si>
  <si>
    <t>Fees and Other income</t>
  </si>
  <si>
    <t>Total Net Income</t>
  </si>
  <si>
    <t>Employee Expenses</t>
  </si>
  <si>
    <t>Other expenditure</t>
  </si>
  <si>
    <t>Total Expenses</t>
  </si>
  <si>
    <t>PPOP</t>
  </si>
  <si>
    <t>Q4FY24</t>
  </si>
  <si>
    <t>Q1FY25</t>
  </si>
  <si>
    <t>FY24</t>
  </si>
  <si>
    <t>Mar'24</t>
  </si>
  <si>
    <t>June'24</t>
  </si>
  <si>
    <t>Other Income</t>
  </si>
  <si>
    <t>Interest income incl. FD income</t>
  </si>
  <si>
    <t>Deferred Tax Liability (Net)</t>
  </si>
  <si>
    <t>Customer Segment - as % of AUM</t>
  </si>
  <si>
    <t>Q4FY23</t>
  </si>
  <si>
    <t>Q3FY23</t>
  </si>
  <si>
    <t>Q2FY23</t>
  </si>
  <si>
    <t>Q1FY23</t>
  </si>
  <si>
    <t>Less : Interest Expenditure</t>
  </si>
  <si>
    <t>Other Comprehensive Income after Tax</t>
  </si>
  <si>
    <t>Total Comprehensive Income as per Ind AS</t>
  </si>
  <si>
    <t>Mar'23</t>
  </si>
  <si>
    <t>Dec'22</t>
  </si>
  <si>
    <t>Sep'22</t>
  </si>
  <si>
    <t>June'22</t>
  </si>
  <si>
    <t>Himachal Pradesh</t>
  </si>
  <si>
    <r>
      <t xml:space="preserve">Margins </t>
    </r>
    <r>
      <rPr>
        <sz val="11"/>
        <color theme="1"/>
        <rFont val="Aptos Display"/>
        <family val="2"/>
      </rPr>
      <t>(as at period end)</t>
    </r>
  </si>
  <si>
    <t>Term Loans</t>
  </si>
  <si>
    <t>Assignment</t>
  </si>
  <si>
    <t>NHB refinancing</t>
  </si>
  <si>
    <t>NCDs</t>
  </si>
  <si>
    <t>Cash Credit</t>
  </si>
  <si>
    <t>Interest Income to Average Total Assets</t>
  </si>
  <si>
    <t>Interest Expense to Average Total Assets</t>
  </si>
  <si>
    <t>AA /Stable</t>
  </si>
  <si>
    <t>AA- /Positive</t>
  </si>
  <si>
    <t>AA- /Stable</t>
  </si>
  <si>
    <t>A+ /Positive</t>
  </si>
  <si>
    <t>HL</t>
  </si>
  <si>
    <t>Segment wise NPA Split (%)</t>
  </si>
  <si>
    <t>Q2FY25</t>
  </si>
  <si>
    <t>Sept'24</t>
  </si>
  <si>
    <t>Tamil Nadu</t>
  </si>
  <si>
    <t>Active Loan Count</t>
  </si>
  <si>
    <t>Fixed</t>
  </si>
  <si>
    <t>Fixed-Floating Mix (%)</t>
  </si>
  <si>
    <t>Productwise AUM Mix (%)</t>
  </si>
  <si>
    <t>Productwise Disbursement Mix (%)</t>
  </si>
  <si>
    <t>Overall</t>
  </si>
  <si>
    <t>Provision matrix</t>
  </si>
  <si>
    <t>Basic EPS (Rs)</t>
  </si>
  <si>
    <t>Diluted EPS (Rs)</t>
  </si>
  <si>
    <t>NHL</t>
  </si>
  <si>
    <t>Average Ticket Size (ATS) on AUM (Rs. In lakh)</t>
  </si>
  <si>
    <t>GNPA (Amt.)</t>
  </si>
  <si>
    <t>NNPA (Amt.)</t>
  </si>
  <si>
    <t>GNPA (%)</t>
  </si>
  <si>
    <t>NNPA (%)</t>
  </si>
  <si>
    <t>1+DPD (%)</t>
  </si>
  <si>
    <t>Credit Cost (%)</t>
  </si>
  <si>
    <t>Floating</t>
  </si>
  <si>
    <r>
      <t xml:space="preserve">Funding Profile </t>
    </r>
    <r>
      <rPr>
        <sz val="11"/>
        <color theme="1"/>
        <rFont val="Aptos Display"/>
        <family val="2"/>
      </rPr>
      <t>(as at period end)</t>
    </r>
  </si>
  <si>
    <r>
      <t xml:space="preserve">Funding Profile (%) </t>
    </r>
    <r>
      <rPr>
        <sz val="11"/>
        <color theme="1"/>
        <rFont val="Aptos Display"/>
        <family val="2"/>
      </rPr>
      <t>(as at period end)</t>
    </r>
  </si>
  <si>
    <t>AA 
/Stable</t>
  </si>
  <si>
    <t>AA- 
/Positive</t>
  </si>
  <si>
    <t>Provision Coverage Ration (PCR) – Stage 1</t>
  </si>
  <si>
    <t>Others</t>
  </si>
  <si>
    <t xml:space="preserve">  - MSME</t>
  </si>
  <si>
    <t xml:space="preserve">  - Other Mortgage Loan</t>
  </si>
  <si>
    <t>Particulars (Rs Mn)</t>
  </si>
  <si>
    <t>Balance Sheet (Rs. Mn)</t>
  </si>
  <si>
    <t>Particulars (Rs. Mn)</t>
  </si>
  <si>
    <t>Particular (Rs. Mn)</t>
  </si>
  <si>
    <t>Book Value Per Share (Rs)</t>
  </si>
  <si>
    <t>Provisions to Average Total Assets</t>
  </si>
  <si>
    <t>Fixed-Floating Mix of Loan Assets (%)</t>
  </si>
  <si>
    <t>FY19*</t>
  </si>
  <si>
    <t>Gross Stage 1*</t>
  </si>
  <si>
    <t>Other Income to Average Total Assets</t>
  </si>
  <si>
    <t>Net Total Income( NIM) to Average Total Assets</t>
  </si>
  <si>
    <t>Total Borrowings (Closing)</t>
  </si>
  <si>
    <t>Securitization Volume (incremental)</t>
  </si>
  <si>
    <t>Tenure of Borrowings (months) (for the period)</t>
  </si>
  <si>
    <t>Q3FY25</t>
  </si>
  <si>
    <t>Dec'24</t>
  </si>
  <si>
    <t>Net gain on de-recognised assets</t>
  </si>
  <si>
    <t xml:space="preserve">Net Gain in Fair value change </t>
  </si>
  <si>
    <t>Q1FY22</t>
  </si>
  <si>
    <t>Q2FY22</t>
  </si>
  <si>
    <t>Q3FY22</t>
  </si>
  <si>
    <t>Q4FY22</t>
  </si>
  <si>
    <t>June'21</t>
  </si>
  <si>
    <t>Sep'21</t>
  </si>
  <si>
    <t>Dec'21</t>
  </si>
  <si>
    <t>Mar'22</t>
  </si>
  <si>
    <t>Productivity</t>
  </si>
  <si>
    <t>AuM / Branch</t>
  </si>
  <si>
    <t>AuM / Employee</t>
  </si>
  <si>
    <t>Disbursement /  Branch</t>
  </si>
  <si>
    <t>Disbursement /  Employee</t>
  </si>
  <si>
    <t>Average Employee /  Branch</t>
  </si>
  <si>
    <t>AuM</t>
  </si>
  <si>
    <t xml:space="preserve"> </t>
  </si>
  <si>
    <t>FY12</t>
  </si>
  <si>
    <t xml:space="preserve"> -   </t>
  </si>
  <si>
    <t>FY13</t>
  </si>
  <si>
    <t>FY14</t>
  </si>
  <si>
    <t>FY15</t>
  </si>
  <si>
    <t>FY16</t>
  </si>
  <si>
    <t>FY17</t>
  </si>
  <si>
    <t>FY18</t>
  </si>
  <si>
    <t>AuM Growth</t>
  </si>
  <si>
    <t>Disbursement Growth</t>
  </si>
  <si>
    <t>MSME</t>
  </si>
  <si>
    <t>Other Mortgage Loan</t>
  </si>
  <si>
    <t xml:space="preserve">AuM Mix </t>
  </si>
  <si>
    <t>Geographical diversification journey</t>
  </si>
  <si>
    <t>Vintage States</t>
  </si>
  <si>
    <t>Emerging States</t>
  </si>
  <si>
    <t>Credit cost</t>
  </si>
  <si>
    <t>Cumulative Write-off</t>
  </si>
  <si>
    <t>Branches</t>
  </si>
  <si>
    <t>States</t>
  </si>
  <si>
    <t>Branches Addition</t>
  </si>
  <si>
    <t>Pristine Asset Quality</t>
  </si>
  <si>
    <t>GNPA</t>
  </si>
  <si>
    <t>NNPA</t>
  </si>
  <si>
    <t>1+DPD</t>
  </si>
  <si>
    <t>Net Worth</t>
  </si>
  <si>
    <t>NIM</t>
  </si>
  <si>
    <t>PAT</t>
  </si>
  <si>
    <t>Consistent Compunding Engine</t>
  </si>
  <si>
    <t>Tier-1</t>
  </si>
  <si>
    <t>Tier-2</t>
  </si>
  <si>
    <t>Tier-3</t>
  </si>
  <si>
    <t>Statewise &amp; Location-wsie AuM Distribution</t>
  </si>
  <si>
    <t>AuM Journey (Rs. in bn)</t>
  </si>
  <si>
    <t>Rs. in Mn unless otherwise mentioned</t>
  </si>
  <si>
    <t>Branch Expansion Journey (count)</t>
  </si>
  <si>
    <t>Yield, Cost of Borrowing and Spread Journey</t>
  </si>
  <si>
    <t>Focused on productivity &amp; cost control</t>
  </si>
  <si>
    <t>RoA</t>
  </si>
  <si>
    <t>RoE</t>
  </si>
  <si>
    <t>Tier-4 &amp; Below</t>
  </si>
  <si>
    <t>*Gross Stage 1&amp;2 is clubbed for FY19, Q1FY22, Q2FY22</t>
  </si>
  <si>
    <t>Diversified Liability Profile with focus on Long term funding</t>
  </si>
  <si>
    <t>NCDs (Incl Tier 2)</t>
  </si>
  <si>
    <t>Q4FY25</t>
  </si>
  <si>
    <t>FY25</t>
  </si>
  <si>
    <t>Mar'25</t>
  </si>
  <si>
    <t xml:space="preserve">Assignment </t>
  </si>
  <si>
    <t>Balance Sheet</t>
  </si>
  <si>
    <t>Liabilities</t>
  </si>
  <si>
    <t>Story in Charts</t>
  </si>
  <si>
    <t>Profit &amp; Loss Statement</t>
  </si>
  <si>
    <t>Operational Data</t>
  </si>
  <si>
    <t>Credit Quality</t>
  </si>
  <si>
    <t>For any queries on the financials &amp; investor related information of the Company, email us at investorrelations@aavas.in</t>
  </si>
  <si>
    <t>.</t>
  </si>
  <si>
    <t>CAGR (FY19-25)</t>
  </si>
  <si>
    <t>`</t>
  </si>
  <si>
    <t>Q1FY26</t>
  </si>
  <si>
    <t>Jun'26</t>
  </si>
  <si>
    <t>Yields, Margins &amp;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</si>
</sst>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_ * #,##0.0_ ;_ * \-#,##0.0_ ;_ * &quot;-&quot;??_ ;_ @_ "/>
    <numFmt numFmtId="169" formatCode="_-* #,##0.00_-;\-* #,##0.00_-;_-* &quot;-&quot;??_-;_-@_-"/>
    <numFmt numFmtId="170" formatCode="0.00000000000000000%"/>
    <numFmt numFmtId="171" formatCode="0.000%"/>
    <numFmt numFmtId="172" formatCode="_(* #,##0.000_);_(* \(#,##0.000\);_(* &quot;-&quot;??_);_(@_)"/>
    <numFmt numFmtId="173" formatCode="_(* #,##0.0000_);_(* \(#,##0.00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0"/>
      <name val="Aptos Display"/>
      <family val="2"/>
    </font>
    <font>
      <sz val="11"/>
      <color theme="1"/>
      <name val="Aptos Display"/>
      <family val="2"/>
    </font>
    <font>
      <b/>
      <sz val="11"/>
      <color theme="1"/>
      <name val="Aptos Display"/>
      <family val="2"/>
    </font>
    <font>
      <b/>
      <sz val="11"/>
      <color theme="0"/>
      <name val="Aptos Display"/>
      <family val="2"/>
    </font>
    <font>
      <i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b/>
      <u/>
      <sz val="11"/>
      <color theme="1"/>
      <name val="Aptos Display"/>
      <family val="2"/>
    </font>
    <font>
      <sz val="11"/>
      <name val="Aptos Display"/>
      <family val="2"/>
    </font>
    <font>
      <u/>
      <sz val="11"/>
      <color theme="0"/>
      <name val="Aptos Display"/>
      <family val="2"/>
    </font>
    <font>
      <sz val="11"/>
      <color theme="1"/>
      <name val="Aptos Display"/>
      <family val="2"/>
    </font>
    <font>
      <b/>
      <sz val="11"/>
      <color theme="0"/>
      <name val="Aptos Display"/>
      <family val="2"/>
    </font>
    <font>
      <b/>
      <sz val="11"/>
      <color theme="1"/>
      <name val="Aptos Display"/>
      <family val="2"/>
    </font>
    <font>
      <i/>
      <sz val="11"/>
      <color theme="1"/>
      <name val="Aptos Display"/>
      <family val="2"/>
    </font>
    <font>
      <b/>
      <i/>
      <sz val="11"/>
      <color theme="1"/>
      <name val="Aptos Display"/>
      <family val="2"/>
    </font>
    <font>
      <sz val="12"/>
      <color theme="1"/>
      <name val="Aptos Display"/>
      <family val="2"/>
    </font>
    <font>
      <b/>
      <sz val="12"/>
      <color theme="1"/>
      <name val="Aptos Display"/>
      <family val="2"/>
    </font>
    <font>
      <u/>
      <sz val="12"/>
      <color theme="0"/>
      <name val="Aptos Display"/>
      <family val="2"/>
    </font>
    <font>
      <u/>
      <sz val="12"/>
      <color theme="10"/>
      <name val="Aptos Display"/>
      <family val="2"/>
    </font>
    <font>
      <b/>
      <sz val="11"/>
      <color rgb="FF002060"/>
      <name val="Aptos Display"/>
      <family val="2"/>
    </font>
    <font>
      <sz val="2"/>
      <color theme="0"/>
      <name val="Aptos Display"/>
      <family val="2"/>
    </font>
    <font>
      <sz val="11"/>
      <color theme="1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29389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2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166" fontId="8" fillId="0" borderId="0" xfId="1" applyNumberFormat="1" applyFont="1" applyFill="1" applyBorder="1"/>
    <xf numFmtId="166" fontId="5" fillId="0" borderId="0" xfId="1" applyNumberFormat="1" applyFont="1" applyFill="1" applyBorder="1"/>
    <xf numFmtId="166" fontId="5" fillId="0" borderId="0" xfId="1" applyNumberFormat="1" applyFont="1"/>
    <xf numFmtId="166" fontId="8" fillId="0" borderId="0" xfId="1" applyNumberFormat="1" applyFont="1" applyFill="1" applyBorder="1" applyAlignment="1">
      <alignment horizontal="left" indent="1"/>
    </xf>
    <xf numFmtId="166" fontId="5" fillId="0" borderId="0" xfId="1" applyNumberFormat="1" applyFont="1" applyFill="1" applyBorder="1" applyAlignment="1">
      <alignment vertical="center"/>
    </xf>
    <xf numFmtId="166" fontId="6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left"/>
    </xf>
    <xf numFmtId="166" fontId="5" fillId="0" borderId="0" xfId="0" applyNumberFormat="1" applyFont="1"/>
    <xf numFmtId="0" fontId="9" fillId="0" borderId="0" xfId="0" applyFont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/>
    </xf>
    <xf numFmtId="164" fontId="5" fillId="0" borderId="0" xfId="1" applyFont="1"/>
    <xf numFmtId="168" fontId="11" fillId="0" borderId="0" xfId="6" applyNumberFormat="1" applyFont="1" applyBorder="1" applyAlignment="1">
      <alignment horizontal="right" vertical="center"/>
    </xf>
    <xf numFmtId="165" fontId="11" fillId="0" borderId="0" xfId="2" applyNumberFormat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right" vertical="center"/>
    </xf>
    <xf numFmtId="166" fontId="11" fillId="0" borderId="0" xfId="1" applyNumberFormat="1" applyFont="1" applyBorder="1" applyAlignment="1">
      <alignment horizontal="left" vertical="center"/>
    </xf>
    <xf numFmtId="164" fontId="5" fillId="0" borderId="0" xfId="1" applyFont="1" applyAlignment="1">
      <alignment vertical="center"/>
    </xf>
    <xf numFmtId="164" fontId="5" fillId="0" borderId="0" xfId="1" applyFont="1" applyAlignment="1">
      <alignment horizontal="left"/>
    </xf>
    <xf numFmtId="165" fontId="5" fillId="0" borderId="5" xfId="2" applyNumberFormat="1" applyFont="1" applyBorder="1"/>
    <xf numFmtId="165" fontId="5" fillId="0" borderId="6" xfId="2" applyNumberFormat="1" applyFont="1" applyBorder="1"/>
    <xf numFmtId="165" fontId="8" fillId="0" borderId="5" xfId="2" applyNumberFormat="1" applyFont="1" applyBorder="1"/>
    <xf numFmtId="165" fontId="8" fillId="0" borderId="6" xfId="2" applyNumberFormat="1" applyFont="1" applyBorder="1"/>
    <xf numFmtId="165" fontId="6" fillId="0" borderId="6" xfId="2" applyNumberFormat="1" applyFont="1" applyBorder="1"/>
    <xf numFmtId="165" fontId="6" fillId="0" borderId="5" xfId="2" applyNumberFormat="1" applyFont="1" applyBorder="1"/>
    <xf numFmtId="165" fontId="5" fillId="0" borderId="7" xfId="2" applyNumberFormat="1" applyFont="1" applyBorder="1"/>
    <xf numFmtId="165" fontId="5" fillId="0" borderId="8" xfId="2" applyNumberFormat="1" applyFont="1" applyBorder="1"/>
    <xf numFmtId="166" fontId="6" fillId="0" borderId="5" xfId="1" applyNumberFormat="1" applyFont="1" applyBorder="1"/>
    <xf numFmtId="166" fontId="6" fillId="0" borderId="6" xfId="1" applyNumberFormat="1" applyFont="1" applyBorder="1"/>
    <xf numFmtId="166" fontId="5" fillId="0" borderId="5" xfId="1" applyNumberFormat="1" applyFont="1" applyBorder="1" applyAlignment="1">
      <alignment horizontal="left"/>
    </xf>
    <xf numFmtId="166" fontId="5" fillId="0" borderId="6" xfId="1" applyNumberFormat="1" applyFont="1" applyBorder="1" applyAlignment="1">
      <alignment horizontal="left"/>
    </xf>
    <xf numFmtId="166" fontId="6" fillId="0" borderId="5" xfId="1" applyNumberFormat="1" applyFont="1" applyBorder="1" applyAlignment="1">
      <alignment horizontal="left"/>
    </xf>
    <xf numFmtId="166" fontId="6" fillId="0" borderId="0" xfId="1" applyNumberFormat="1" applyFont="1" applyBorder="1" applyAlignment="1">
      <alignment horizontal="left"/>
    </xf>
    <xf numFmtId="166" fontId="6" fillId="0" borderId="6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/>
    </xf>
    <xf numFmtId="166" fontId="8" fillId="0" borderId="0" xfId="1" applyNumberFormat="1" applyFont="1" applyBorder="1" applyAlignment="1">
      <alignment horizontal="left"/>
    </xf>
    <xf numFmtId="166" fontId="8" fillId="0" borderId="6" xfId="1" applyNumberFormat="1" applyFont="1" applyBorder="1" applyAlignment="1">
      <alignment horizontal="left"/>
    </xf>
    <xf numFmtId="166" fontId="8" fillId="0" borderId="5" xfId="1" applyNumberFormat="1" applyFont="1" applyBorder="1" applyAlignment="1">
      <alignment horizontal="left" indent="2"/>
    </xf>
    <xf numFmtId="166" fontId="8" fillId="0" borderId="0" xfId="1" applyNumberFormat="1" applyFont="1" applyBorder="1" applyAlignment="1">
      <alignment horizontal="left" indent="2"/>
    </xf>
    <xf numFmtId="166" fontId="8" fillId="0" borderId="6" xfId="1" applyNumberFormat="1" applyFont="1" applyBorder="1" applyAlignment="1">
      <alignment horizontal="left" indent="2"/>
    </xf>
    <xf numFmtId="166" fontId="8" fillId="0" borderId="5" xfId="1" applyNumberFormat="1" applyFont="1" applyFill="1" applyBorder="1" applyAlignment="1">
      <alignment horizontal="left" indent="1"/>
    </xf>
    <xf numFmtId="166" fontId="8" fillId="0" borderId="6" xfId="1" applyNumberFormat="1" applyFont="1" applyFill="1" applyBorder="1" applyAlignment="1">
      <alignment horizontal="left" indent="1"/>
    </xf>
    <xf numFmtId="166" fontId="6" fillId="0" borderId="5" xfId="1" applyNumberFormat="1" applyFont="1" applyFill="1" applyBorder="1"/>
    <xf numFmtId="166" fontId="5" fillId="0" borderId="7" xfId="1" applyNumberFormat="1" applyFont="1" applyBorder="1" applyAlignment="1">
      <alignment horizontal="left"/>
    </xf>
    <xf numFmtId="166" fontId="5" fillId="0" borderId="1" xfId="1" applyNumberFormat="1" applyFont="1" applyBorder="1" applyAlignment="1">
      <alignment horizontal="left"/>
    </xf>
    <xf numFmtId="166" fontId="5" fillId="0" borderId="8" xfId="1" applyNumberFormat="1" applyFont="1" applyBorder="1" applyAlignment="1">
      <alignment horizontal="left"/>
    </xf>
    <xf numFmtId="164" fontId="6" fillId="0" borderId="5" xfId="1" applyFont="1" applyBorder="1" applyAlignment="1">
      <alignment horizontal="left"/>
    </xf>
    <xf numFmtId="164" fontId="5" fillId="0" borderId="5" xfId="1" applyFont="1" applyBorder="1" applyAlignment="1">
      <alignment horizontal="left"/>
    </xf>
    <xf numFmtId="164" fontId="8" fillId="0" borderId="5" xfId="1" applyFont="1" applyBorder="1" applyAlignment="1">
      <alignment horizontal="left"/>
    </xf>
    <xf numFmtId="164" fontId="8" fillId="0" borderId="5" xfId="1" applyFont="1" applyBorder="1" applyAlignment="1">
      <alignment horizontal="left" indent="2"/>
    </xf>
    <xf numFmtId="164" fontId="5" fillId="0" borderId="7" xfId="1" applyFont="1" applyBorder="1" applyAlignment="1">
      <alignment horizontal="left"/>
    </xf>
    <xf numFmtId="164" fontId="6" fillId="2" borderId="10" xfId="1" applyFont="1" applyFill="1" applyBorder="1" applyAlignment="1">
      <alignment horizontal="left"/>
    </xf>
    <xf numFmtId="166" fontId="6" fillId="2" borderId="10" xfId="1" applyNumberFormat="1" applyFont="1" applyFill="1" applyBorder="1"/>
    <xf numFmtId="166" fontId="6" fillId="2" borderId="11" xfId="1" applyNumberFormat="1" applyFont="1" applyFill="1" applyBorder="1"/>
    <xf numFmtId="166" fontId="6" fillId="2" borderId="12" xfId="1" applyNumberFormat="1" applyFont="1" applyFill="1" applyBorder="1"/>
    <xf numFmtId="165" fontId="6" fillId="2" borderId="10" xfId="2" applyNumberFormat="1" applyFont="1" applyFill="1" applyBorder="1"/>
    <xf numFmtId="165" fontId="6" fillId="2" borderId="12" xfId="2" applyNumberFormat="1" applyFont="1" applyFill="1" applyBorder="1"/>
    <xf numFmtId="166" fontId="6" fillId="2" borderId="10" xfId="1" applyNumberFormat="1" applyFont="1" applyFill="1" applyBorder="1" applyAlignment="1">
      <alignment horizontal="left"/>
    </xf>
    <xf numFmtId="166" fontId="6" fillId="2" borderId="11" xfId="1" applyNumberFormat="1" applyFont="1" applyFill="1" applyBorder="1" applyAlignment="1">
      <alignment horizontal="left"/>
    </xf>
    <xf numFmtId="166" fontId="6" fillId="2" borderId="12" xfId="1" applyNumberFormat="1" applyFont="1" applyFill="1" applyBorder="1" applyAlignment="1">
      <alignment horizontal="left"/>
    </xf>
    <xf numFmtId="164" fontId="6" fillId="2" borderId="10" xfId="1" applyFont="1" applyFill="1" applyBorder="1" applyAlignment="1">
      <alignment horizontal="left" indent="1"/>
    </xf>
    <xf numFmtId="166" fontId="8" fillId="0" borderId="5" xfId="1" applyNumberFormat="1" applyFont="1" applyFill="1" applyBorder="1"/>
    <xf numFmtId="166" fontId="5" fillId="0" borderId="5" xfId="1" applyNumberFormat="1" applyFont="1" applyFill="1" applyBorder="1"/>
    <xf numFmtId="166" fontId="5" fillId="0" borderId="5" xfId="1" applyNumberFormat="1" applyFont="1" applyFill="1" applyBorder="1" applyAlignment="1">
      <alignment vertical="center"/>
    </xf>
    <xf numFmtId="166" fontId="8" fillId="0" borderId="5" xfId="1" applyNumberFormat="1" applyFont="1" applyFill="1" applyBorder="1" applyAlignment="1">
      <alignment horizontal="left"/>
    </xf>
    <xf numFmtId="165" fontId="8" fillId="0" borderId="14" xfId="2" applyNumberFormat="1" applyFont="1" applyFill="1" applyBorder="1" applyAlignment="1">
      <alignment horizontal="right"/>
    </xf>
    <xf numFmtId="165" fontId="9" fillId="0" borderId="14" xfId="2" applyNumberFormat="1" applyFont="1" applyFill="1" applyBorder="1" applyAlignment="1">
      <alignment horizontal="right"/>
    </xf>
    <xf numFmtId="165" fontId="8" fillId="0" borderId="14" xfId="2" applyNumberFormat="1" applyFont="1" applyFill="1" applyBorder="1" applyAlignment="1">
      <alignment horizontal="right" vertical="center"/>
    </xf>
    <xf numFmtId="165" fontId="6" fillId="2" borderId="2" xfId="2" applyNumberFormat="1" applyFont="1" applyFill="1" applyBorder="1" applyAlignment="1">
      <alignment horizontal="right"/>
    </xf>
    <xf numFmtId="165" fontId="6" fillId="0" borderId="14" xfId="2" applyNumberFormat="1" applyFont="1" applyBorder="1" applyAlignment="1">
      <alignment horizontal="right"/>
    </xf>
    <xf numFmtId="164" fontId="6" fillId="0" borderId="5" xfId="1" applyFont="1" applyFill="1" applyBorder="1" applyAlignment="1">
      <alignment horizontal="left" indent="1"/>
    </xf>
    <xf numFmtId="166" fontId="6" fillId="0" borderId="5" xfId="0" applyNumberFormat="1" applyFont="1" applyBorder="1"/>
    <xf numFmtId="166" fontId="6" fillId="0" borderId="0" xfId="0" applyNumberFormat="1" applyFont="1"/>
    <xf numFmtId="166" fontId="6" fillId="0" borderId="6" xfId="0" applyNumberFormat="1" applyFont="1" applyBorder="1"/>
    <xf numFmtId="166" fontId="6" fillId="0" borderId="5" xfId="1" applyNumberFormat="1" applyFont="1" applyFill="1" applyBorder="1" applyAlignment="1">
      <alignment horizontal="left"/>
    </xf>
    <xf numFmtId="166" fontId="6" fillId="0" borderId="0" xfId="1" applyNumberFormat="1" applyFont="1" applyFill="1" applyBorder="1" applyAlignment="1">
      <alignment horizontal="left"/>
    </xf>
    <xf numFmtId="165" fontId="6" fillId="0" borderId="14" xfId="2" applyNumberFormat="1" applyFont="1" applyFill="1" applyBorder="1" applyAlignment="1">
      <alignment horizontal="right"/>
    </xf>
    <xf numFmtId="165" fontId="11" fillId="0" borderId="6" xfId="2" applyNumberFormat="1" applyFont="1" applyBorder="1" applyAlignment="1">
      <alignment horizontal="right" vertical="center"/>
    </xf>
    <xf numFmtId="166" fontId="11" fillId="0" borderId="5" xfId="1" applyNumberFormat="1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right" vertical="center"/>
    </xf>
    <xf numFmtId="165" fontId="11" fillId="0" borderId="5" xfId="2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5" fontId="11" fillId="0" borderId="9" xfId="2" applyNumberFormat="1" applyFont="1" applyBorder="1" applyAlignment="1">
      <alignment horizontal="right" vertical="center"/>
    </xf>
    <xf numFmtId="165" fontId="11" fillId="0" borderId="4" xfId="2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167" fontId="11" fillId="0" borderId="0" xfId="1" applyNumberFormat="1" applyFont="1" applyBorder="1" applyAlignment="1">
      <alignment horizontal="right" vertical="center"/>
    </xf>
    <xf numFmtId="167" fontId="11" fillId="0" borderId="6" xfId="1" applyNumberFormat="1" applyFont="1" applyBorder="1" applyAlignment="1">
      <alignment horizontal="right" vertical="center"/>
    </xf>
    <xf numFmtId="165" fontId="11" fillId="0" borderId="3" xfId="2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8" fontId="11" fillId="0" borderId="5" xfId="6" applyNumberFormat="1" applyFont="1" applyBorder="1" applyAlignment="1">
      <alignment horizontal="right" vertical="center"/>
    </xf>
    <xf numFmtId="168" fontId="11" fillId="0" borderId="6" xfId="6" applyNumberFormat="1" applyFont="1" applyBorder="1" applyAlignment="1">
      <alignment horizontal="right" vertical="center"/>
    </xf>
    <xf numFmtId="164" fontId="5" fillId="0" borderId="3" xfId="1" applyFont="1" applyBorder="1" applyAlignment="1">
      <alignment vertical="center"/>
    </xf>
    <xf numFmtId="164" fontId="5" fillId="0" borderId="5" xfId="1" applyFont="1" applyBorder="1" applyAlignment="1">
      <alignment vertical="center"/>
    </xf>
    <xf numFmtId="164" fontId="5" fillId="0" borderId="7" xfId="1" applyFont="1" applyBorder="1" applyAlignment="1">
      <alignment vertical="center"/>
    </xf>
    <xf numFmtId="164" fontId="8" fillId="0" borderId="5" xfId="1" applyFont="1" applyBorder="1" applyAlignment="1">
      <alignment vertical="center"/>
    </xf>
    <xf numFmtId="0" fontId="4" fillId="3" borderId="0" xfId="3" applyFont="1" applyFill="1"/>
    <xf numFmtId="164" fontId="7" fillId="3" borderId="3" xfId="1" applyFont="1" applyFill="1" applyBorder="1" applyAlignment="1">
      <alignment horizontal="center" vertical="center"/>
    </xf>
    <xf numFmtId="164" fontId="7" fillId="3" borderId="9" xfId="1" applyFont="1" applyFill="1" applyBorder="1" applyAlignment="1">
      <alignment horizontal="center" vertical="center"/>
    </xf>
    <xf numFmtId="164" fontId="7" fillId="3" borderId="4" xfId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164" fontId="7" fillId="3" borderId="13" xfId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5" fillId="0" borderId="14" xfId="2" applyNumberFormat="1" applyFont="1" applyFill="1" applyBorder="1" applyAlignment="1">
      <alignment horizontal="right"/>
    </xf>
    <xf numFmtId="165" fontId="5" fillId="0" borderId="15" xfId="2" applyNumberFormat="1" applyFont="1" applyFill="1" applyBorder="1" applyAlignment="1">
      <alignment horizontal="right"/>
    </xf>
    <xf numFmtId="164" fontId="15" fillId="2" borderId="5" xfId="1" applyFont="1" applyFill="1" applyBorder="1" applyAlignment="1">
      <alignment vertical="center"/>
    </xf>
    <xf numFmtId="164" fontId="13" fillId="0" borderId="5" xfId="1" applyFont="1" applyBorder="1" applyAlignment="1">
      <alignment vertical="center"/>
    </xf>
    <xf numFmtId="164" fontId="15" fillId="2" borderId="10" xfId="1" applyFont="1" applyFill="1" applyBorder="1" applyAlignment="1">
      <alignment vertical="center"/>
    </xf>
    <xf numFmtId="166" fontId="13" fillId="0" borderId="0" xfId="1" applyNumberFormat="1" applyFont="1" applyAlignment="1">
      <alignment vertical="center"/>
    </xf>
    <xf numFmtId="164" fontId="15" fillId="0" borderId="0" xfId="1" applyFont="1" applyAlignment="1">
      <alignment vertical="center"/>
    </xf>
    <xf numFmtId="164" fontId="13" fillId="0" borderId="3" xfId="1" applyFont="1" applyBorder="1" applyAlignment="1">
      <alignment vertical="center"/>
    </xf>
    <xf numFmtId="164" fontId="13" fillId="0" borderId="7" xfId="1" applyFont="1" applyBorder="1" applyAlignment="1">
      <alignment vertical="center"/>
    </xf>
    <xf numFmtId="164" fontId="13" fillId="0" borderId="0" xfId="1" applyFont="1" applyBorder="1" applyAlignment="1">
      <alignment vertical="center"/>
    </xf>
    <xf numFmtId="3" fontId="16" fillId="0" borderId="9" xfId="0" applyNumberFormat="1" applyFont="1" applyBorder="1" applyAlignment="1">
      <alignment horizontal="right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6" fillId="0" borderId="8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10" fontId="11" fillId="0" borderId="0" xfId="2" applyNumberFormat="1" applyFont="1" applyBorder="1" applyAlignment="1">
      <alignment horizontal="right" vertical="center"/>
    </xf>
    <xf numFmtId="10" fontId="11" fillId="0" borderId="6" xfId="2" applyNumberFormat="1" applyFont="1" applyBorder="1" applyAlignment="1">
      <alignment horizontal="right" vertical="center"/>
    </xf>
    <xf numFmtId="10" fontId="11" fillId="0" borderId="5" xfId="2" applyNumberFormat="1" applyFont="1" applyBorder="1" applyAlignment="1">
      <alignment horizontal="right" vertical="center"/>
    </xf>
    <xf numFmtId="166" fontId="11" fillId="0" borderId="9" xfId="1" applyNumberFormat="1" applyFont="1" applyBorder="1" applyAlignment="1">
      <alignment horizontal="right" vertical="center"/>
    </xf>
    <xf numFmtId="166" fontId="11" fillId="0" borderId="4" xfId="1" applyNumberFormat="1" applyFont="1" applyBorder="1" applyAlignment="1">
      <alignment horizontal="right" vertical="center"/>
    </xf>
    <xf numFmtId="166" fontId="11" fillId="0" borderId="3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166" fontId="14" fillId="3" borderId="9" xfId="1" applyNumberFormat="1" applyFont="1" applyFill="1" applyBorder="1" applyAlignment="1">
      <alignment horizontal="center" vertical="center"/>
    </xf>
    <xf numFmtId="166" fontId="14" fillId="3" borderId="3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166" fontId="7" fillId="3" borderId="3" xfId="1" applyNumberFormat="1" applyFont="1" applyFill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164" fontId="7" fillId="3" borderId="3" xfId="1" applyFont="1" applyFill="1" applyBorder="1" applyAlignment="1">
      <alignment horizontal="left" vertical="center"/>
    </xf>
    <xf numFmtId="0" fontId="4" fillId="3" borderId="0" xfId="3" applyFont="1" applyFill="1" applyAlignment="1">
      <alignment vertical="center"/>
    </xf>
    <xf numFmtId="0" fontId="5" fillId="0" borderId="0" xfId="0" applyFont="1" applyAlignment="1">
      <alignment vertical="center"/>
    </xf>
    <xf numFmtId="166" fontId="5" fillId="0" borderId="9" xfId="1" applyNumberFormat="1" applyFont="1" applyBorder="1" applyAlignment="1">
      <alignment vertical="center"/>
    </xf>
    <xf numFmtId="166" fontId="5" fillId="0" borderId="4" xfId="1" applyNumberFormat="1" applyFont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5" fillId="0" borderId="5" xfId="1" applyNumberFormat="1" applyFont="1" applyBorder="1" applyAlignment="1">
      <alignment vertical="center"/>
    </xf>
    <xf numFmtId="164" fontId="6" fillId="2" borderId="3" xfId="1" applyFont="1" applyFill="1" applyBorder="1" applyAlignment="1">
      <alignment vertical="center"/>
    </xf>
    <xf numFmtId="166" fontId="5" fillId="2" borderId="9" xfId="1" applyNumberFormat="1" applyFont="1" applyFill="1" applyBorder="1" applyAlignment="1">
      <alignment vertical="center"/>
    </xf>
    <xf numFmtId="166" fontId="5" fillId="2" borderId="4" xfId="1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164" fontId="5" fillId="0" borderId="3" xfId="1" applyFont="1" applyBorder="1" applyAlignment="1">
      <alignment horizontal="left" vertical="center"/>
    </xf>
    <xf numFmtId="165" fontId="5" fillId="0" borderId="9" xfId="2" applyNumberFormat="1" applyFont="1" applyBorder="1" applyAlignment="1">
      <alignment vertical="center"/>
    </xf>
    <xf numFmtId="165" fontId="5" fillId="0" borderId="4" xfId="2" applyNumberFormat="1" applyFont="1" applyBorder="1" applyAlignment="1">
      <alignment vertical="center"/>
    </xf>
    <xf numFmtId="165" fontId="5" fillId="0" borderId="5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6" xfId="2" applyNumberFormat="1" applyFont="1" applyBorder="1" applyAlignment="1">
      <alignment vertical="center"/>
    </xf>
    <xf numFmtId="164" fontId="5" fillId="0" borderId="5" xfId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65" fontId="8" fillId="0" borderId="0" xfId="2" applyNumberFormat="1" applyFont="1" applyBorder="1" applyAlignment="1">
      <alignment vertical="center"/>
    </xf>
    <xf numFmtId="164" fontId="6" fillId="2" borderId="7" xfId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167" fontId="5" fillId="0" borderId="5" xfId="1" applyNumberFormat="1" applyFont="1" applyBorder="1" applyAlignment="1">
      <alignment horizontal="left" vertical="center"/>
    </xf>
    <xf numFmtId="167" fontId="5" fillId="0" borderId="0" xfId="1" applyNumberFormat="1" applyFont="1" applyBorder="1" applyAlignment="1">
      <alignment vertical="center"/>
    </xf>
    <xf numFmtId="167" fontId="5" fillId="0" borderId="6" xfId="1" applyNumberFormat="1" applyFont="1" applyBorder="1" applyAlignment="1">
      <alignment vertical="center"/>
    </xf>
    <xf numFmtId="167" fontId="5" fillId="0" borderId="0" xfId="1" applyNumberFormat="1" applyFont="1" applyAlignment="1">
      <alignment vertical="center"/>
    </xf>
    <xf numFmtId="167" fontId="5" fillId="0" borderId="5" xfId="1" applyNumberFormat="1" applyFont="1" applyBorder="1" applyAlignment="1">
      <alignment vertical="center"/>
    </xf>
    <xf numFmtId="164" fontId="6" fillId="2" borderId="10" xfId="1" applyFont="1" applyFill="1" applyBorder="1" applyAlignment="1">
      <alignment horizontal="left" vertical="center"/>
    </xf>
    <xf numFmtId="165" fontId="5" fillId="0" borderId="9" xfId="2" applyNumberFormat="1" applyFont="1" applyFill="1" applyBorder="1" applyAlignment="1">
      <alignment vertical="center"/>
    </xf>
    <xf numFmtId="164" fontId="5" fillId="0" borderId="7" xfId="1" applyFont="1" applyBorder="1" applyAlignment="1">
      <alignment horizontal="left" vertical="center"/>
    </xf>
    <xf numFmtId="165" fontId="5" fillId="0" borderId="1" xfId="2" applyNumberFormat="1" applyFont="1" applyBorder="1" applyAlignment="1">
      <alignment vertical="center"/>
    </xf>
    <xf numFmtId="165" fontId="5" fillId="0" borderId="1" xfId="2" applyNumberFormat="1" applyFont="1" applyFill="1" applyBorder="1" applyAlignment="1">
      <alignment vertical="center"/>
    </xf>
    <xf numFmtId="165" fontId="5" fillId="0" borderId="8" xfId="2" applyNumberFormat="1" applyFont="1" applyBorder="1" applyAlignment="1">
      <alignment vertical="center"/>
    </xf>
    <xf numFmtId="164" fontId="5" fillId="0" borderId="0" xfId="1" applyFont="1" applyBorder="1" applyAlignment="1">
      <alignment horizontal="left" vertical="center"/>
    </xf>
    <xf numFmtId="165" fontId="5" fillId="0" borderId="0" xfId="2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165" fontId="5" fillId="0" borderId="3" xfId="2" applyNumberFormat="1" applyFont="1" applyBorder="1" applyAlignment="1">
      <alignment vertical="center"/>
    </xf>
    <xf numFmtId="165" fontId="5" fillId="0" borderId="6" xfId="2" applyNumberFormat="1" applyFont="1" applyFill="1" applyBorder="1" applyAlignment="1">
      <alignment vertical="center"/>
    </xf>
    <xf numFmtId="164" fontId="5" fillId="0" borderId="0" xfId="1" applyFont="1" applyBorder="1" applyAlignment="1">
      <alignment vertical="center"/>
    </xf>
    <xf numFmtId="165" fontId="5" fillId="0" borderId="5" xfId="2" applyNumberFormat="1" applyFont="1" applyFill="1" applyBorder="1" applyAlignment="1">
      <alignment vertical="center"/>
    </xf>
    <xf numFmtId="9" fontId="6" fillId="2" borderId="10" xfId="2" applyFont="1" applyFill="1" applyBorder="1" applyAlignment="1">
      <alignment vertical="center"/>
    </xf>
    <xf numFmtId="9" fontId="6" fillId="2" borderId="11" xfId="2" applyFont="1" applyFill="1" applyBorder="1" applyAlignment="1">
      <alignment vertical="center"/>
    </xf>
    <xf numFmtId="9" fontId="6" fillId="2" borderId="12" xfId="2" applyFont="1" applyFill="1" applyBorder="1" applyAlignment="1">
      <alignment vertical="center"/>
    </xf>
    <xf numFmtId="9" fontId="5" fillId="0" borderId="0" xfId="2" applyFont="1" applyAlignment="1">
      <alignment vertical="center"/>
    </xf>
    <xf numFmtId="164" fontId="6" fillId="2" borderId="10" xfId="1" applyFont="1" applyFill="1" applyBorder="1" applyAlignment="1">
      <alignment vertical="center"/>
    </xf>
    <xf numFmtId="166" fontId="5" fillId="0" borderId="9" xfId="1" applyNumberFormat="1" applyFont="1" applyFill="1" applyBorder="1" applyAlignment="1">
      <alignment vertical="center"/>
    </xf>
    <xf numFmtId="166" fontId="6" fillId="2" borderId="11" xfId="1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>
      <alignment vertical="center"/>
    </xf>
    <xf numFmtId="166" fontId="6" fillId="2" borderId="10" xfId="1" applyNumberFormat="1" applyFont="1" applyFill="1" applyBorder="1" applyAlignment="1">
      <alignment vertical="center"/>
    </xf>
    <xf numFmtId="164" fontId="6" fillId="0" borderId="0" xfId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164" fontId="7" fillId="3" borderId="3" xfId="1" applyFont="1" applyFill="1" applyBorder="1" applyAlignment="1">
      <alignment vertical="center"/>
    </xf>
    <xf numFmtId="166" fontId="5" fillId="0" borderId="9" xfId="4" applyNumberFormat="1" applyFont="1" applyFill="1" applyBorder="1" applyAlignment="1">
      <alignment vertical="center"/>
    </xf>
    <xf numFmtId="166" fontId="5" fillId="0" borderId="4" xfId="4" applyNumberFormat="1" applyFont="1" applyFill="1" applyBorder="1" applyAlignment="1">
      <alignment vertical="center"/>
    </xf>
    <xf numFmtId="166" fontId="5" fillId="0" borderId="7" xfId="1" applyNumberFormat="1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166" fontId="5" fillId="0" borderId="8" xfId="1" applyNumberFormat="1" applyFont="1" applyBorder="1" applyAlignment="1">
      <alignment vertical="center"/>
    </xf>
    <xf numFmtId="166" fontId="5" fillId="0" borderId="0" xfId="1" applyNumberFormat="1" applyFont="1" applyFill="1" applyAlignment="1">
      <alignment vertical="center"/>
    </xf>
    <xf numFmtId="166" fontId="5" fillId="0" borderId="0" xfId="1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6" fontId="5" fillId="0" borderId="5" xfId="1" applyNumberFormat="1" applyFont="1" applyBorder="1" applyAlignment="1">
      <alignment horizontal="left" vertical="center"/>
    </xf>
    <xf numFmtId="166" fontId="5" fillId="0" borderId="0" xfId="1" applyNumberFormat="1" applyFont="1" applyBorder="1" applyAlignment="1">
      <alignment horizontal="left" vertical="center"/>
    </xf>
    <xf numFmtId="166" fontId="5" fillId="0" borderId="6" xfId="1" applyNumberFormat="1" applyFont="1" applyBorder="1" applyAlignment="1">
      <alignment horizontal="left" vertical="center"/>
    </xf>
    <xf numFmtId="166" fontId="6" fillId="2" borderId="10" xfId="1" applyNumberFormat="1" applyFont="1" applyFill="1" applyBorder="1" applyAlignment="1">
      <alignment horizontal="left" vertical="center"/>
    </xf>
    <xf numFmtId="166" fontId="6" fillId="2" borderId="11" xfId="1" applyNumberFormat="1" applyFont="1" applyFill="1" applyBorder="1" applyAlignment="1">
      <alignment horizontal="left" vertical="center"/>
    </xf>
    <xf numFmtId="166" fontId="6" fillId="2" borderId="12" xfId="1" applyNumberFormat="1" applyFont="1" applyFill="1" applyBorder="1" applyAlignment="1">
      <alignment horizontal="left" vertical="center"/>
    </xf>
    <xf numFmtId="166" fontId="6" fillId="0" borderId="0" xfId="1" applyNumberFormat="1" applyFont="1" applyFill="1" applyBorder="1" applyAlignment="1">
      <alignment vertical="center"/>
    </xf>
    <xf numFmtId="166" fontId="5" fillId="0" borderId="1" xfId="1" applyNumberFormat="1" applyFont="1" applyBorder="1" applyAlignment="1">
      <alignment horizontal="left" vertical="center"/>
    </xf>
    <xf numFmtId="164" fontId="5" fillId="0" borderId="0" xfId="1" applyFont="1" applyAlignment="1">
      <alignment horizontal="left" vertical="center"/>
    </xf>
    <xf numFmtId="166" fontId="4" fillId="3" borderId="0" xfId="1" applyNumberFormat="1" applyFont="1" applyFill="1" applyAlignment="1">
      <alignment vertical="center"/>
    </xf>
    <xf numFmtId="164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164" fontId="10" fillId="0" borderId="5" xfId="1" applyFont="1" applyBorder="1" applyAlignment="1">
      <alignment horizontal="left" vertical="center"/>
    </xf>
    <xf numFmtId="166" fontId="5" fillId="0" borderId="9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 vertical="center"/>
    </xf>
    <xf numFmtId="166" fontId="10" fillId="0" borderId="6" xfId="1" applyNumberFormat="1" applyFont="1" applyBorder="1" applyAlignment="1">
      <alignment horizontal="left" vertical="center"/>
    </xf>
    <xf numFmtId="166" fontId="10" fillId="0" borderId="5" xfId="1" applyNumberFormat="1" applyFont="1" applyBorder="1" applyAlignment="1">
      <alignment horizontal="left" vertical="center"/>
    </xf>
    <xf numFmtId="166" fontId="6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165" fontId="5" fillId="0" borderId="0" xfId="2" applyNumberFormat="1" applyFont="1" applyBorder="1" applyAlignment="1">
      <alignment horizontal="right" vertical="center"/>
    </xf>
    <xf numFmtId="165" fontId="5" fillId="0" borderId="6" xfId="2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5" fontId="5" fillId="0" borderId="5" xfId="2" applyNumberFormat="1" applyFont="1" applyBorder="1" applyAlignment="1">
      <alignment horizontal="right" vertical="center"/>
    </xf>
    <xf numFmtId="165" fontId="6" fillId="2" borderId="11" xfId="2" applyNumberFormat="1" applyFont="1" applyFill="1" applyBorder="1" applyAlignment="1">
      <alignment horizontal="right" vertical="center"/>
    </xf>
    <xf numFmtId="165" fontId="5" fillId="0" borderId="0" xfId="2" applyNumberFormat="1" applyFont="1" applyAlignment="1">
      <alignment horizontal="right" vertical="center"/>
    </xf>
    <xf numFmtId="165" fontId="5" fillId="0" borderId="9" xfId="2" applyNumberFormat="1" applyFont="1" applyBorder="1" applyAlignment="1">
      <alignment horizontal="right" vertical="center"/>
    </xf>
    <xf numFmtId="165" fontId="5" fillId="0" borderId="4" xfId="2" applyNumberFormat="1" applyFont="1" applyBorder="1" applyAlignment="1">
      <alignment horizontal="right" vertical="center"/>
    </xf>
    <xf numFmtId="10" fontId="5" fillId="0" borderId="0" xfId="2" applyNumberFormat="1" applyFont="1" applyAlignment="1">
      <alignment horizontal="right" vertical="center"/>
    </xf>
    <xf numFmtId="165" fontId="6" fillId="0" borderId="0" xfId="2" applyNumberFormat="1" applyFont="1" applyAlignment="1">
      <alignment horizontal="right" vertical="center"/>
    </xf>
    <xf numFmtId="164" fontId="6" fillId="0" borderId="5" xfId="1" applyFont="1" applyBorder="1" applyAlignment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0" fontId="5" fillId="0" borderId="0" xfId="2" applyNumberFormat="1" applyFont="1" applyAlignment="1">
      <alignment vertical="center"/>
    </xf>
    <xf numFmtId="165" fontId="8" fillId="0" borderId="0" xfId="2" applyNumberFormat="1" applyFont="1" applyBorder="1" applyAlignment="1">
      <alignment horizontal="right" vertical="center"/>
    </xf>
    <xf numFmtId="165" fontId="8" fillId="0" borderId="6" xfId="2" applyNumberFormat="1" applyFont="1" applyBorder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165" fontId="8" fillId="0" borderId="5" xfId="2" applyNumberFormat="1" applyFont="1" applyBorder="1" applyAlignment="1">
      <alignment horizontal="right" vertical="center"/>
    </xf>
    <xf numFmtId="165" fontId="5" fillId="0" borderId="0" xfId="2" applyNumberFormat="1" applyFont="1" applyFill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8" xfId="1" applyNumberFormat="1" applyFont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5" fillId="0" borderId="7" xfId="1" applyNumberFormat="1" applyFont="1" applyBorder="1" applyAlignment="1">
      <alignment horizontal="right" vertical="center"/>
    </xf>
    <xf numFmtId="166" fontId="5" fillId="0" borderId="1" xfId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6" fontId="5" fillId="0" borderId="9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3" xfId="6" applyNumberFormat="1" applyFont="1" applyBorder="1" applyAlignment="1">
      <alignment horizontal="right" vertical="center"/>
    </xf>
    <xf numFmtId="166" fontId="5" fillId="0" borderId="0" xfId="6" applyNumberFormat="1" applyFont="1" applyBorder="1" applyAlignment="1">
      <alignment horizontal="right" vertical="center"/>
    </xf>
    <xf numFmtId="166" fontId="5" fillId="0" borderId="6" xfId="6" applyNumberFormat="1" applyFont="1" applyBorder="1" applyAlignment="1">
      <alignment horizontal="right" vertical="center"/>
    </xf>
    <xf numFmtId="166" fontId="5" fillId="0" borderId="5" xfId="6" applyNumberFormat="1" applyFont="1" applyBorder="1" applyAlignment="1">
      <alignment horizontal="right" vertical="center"/>
    </xf>
    <xf numFmtId="166" fontId="5" fillId="0" borderId="0" xfId="6" applyNumberFormat="1" applyFont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166" fontId="5" fillId="0" borderId="8" xfId="6" applyNumberFormat="1" applyFont="1" applyBorder="1" applyAlignment="1">
      <alignment horizontal="right" vertical="center"/>
    </xf>
    <xf numFmtId="166" fontId="5" fillId="0" borderId="7" xfId="6" applyNumberFormat="1" applyFont="1" applyBorder="1" applyAlignment="1">
      <alignment horizontal="right" vertical="center"/>
    </xf>
    <xf numFmtId="0" fontId="4" fillId="0" borderId="0" xfId="3" applyFont="1" applyFill="1" applyAlignment="1">
      <alignment vertical="center"/>
    </xf>
    <xf numFmtId="164" fontId="5" fillId="0" borderId="0" xfId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0" fontId="5" fillId="0" borderId="0" xfId="0" applyNumberFormat="1" applyFont="1" applyAlignment="1">
      <alignment vertical="center"/>
    </xf>
    <xf numFmtId="10" fontId="5" fillId="0" borderId="6" xfId="0" applyNumberFormat="1" applyFont="1" applyBorder="1" applyAlignment="1">
      <alignment vertical="center"/>
    </xf>
    <xf numFmtId="10" fontId="5" fillId="0" borderId="5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5" fillId="0" borderId="8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vertical="center"/>
    </xf>
    <xf numFmtId="164" fontId="6" fillId="2" borderId="9" xfId="1" applyFont="1" applyFill="1" applyBorder="1" applyAlignment="1">
      <alignment vertical="center"/>
    </xf>
    <xf numFmtId="164" fontId="6" fillId="2" borderId="5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/>
    </xf>
    <xf numFmtId="164" fontId="6" fillId="2" borderId="6" xfId="1" applyFont="1" applyFill="1" applyBorder="1" applyAlignment="1">
      <alignment vertical="center"/>
    </xf>
    <xf numFmtId="10" fontId="5" fillId="0" borderId="9" xfId="2" applyNumberFormat="1" applyFont="1" applyBorder="1" applyAlignment="1">
      <alignment vertical="center"/>
    </xf>
    <xf numFmtId="10" fontId="5" fillId="0" borderId="4" xfId="2" applyNumberFormat="1" applyFont="1" applyBorder="1" applyAlignment="1">
      <alignment vertical="center"/>
    </xf>
    <xf numFmtId="10" fontId="5" fillId="0" borderId="3" xfId="2" applyNumberFormat="1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0" borderId="0" xfId="2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0" fontId="5" fillId="0" borderId="0" xfId="2" applyNumberFormat="1" applyFont="1" applyBorder="1" applyAlignment="1">
      <alignment horizontal="right" vertical="center"/>
    </xf>
    <xf numFmtId="10" fontId="5" fillId="0" borderId="6" xfId="2" applyNumberFormat="1" applyFont="1" applyBorder="1" applyAlignment="1">
      <alignment horizontal="right" vertical="center"/>
    </xf>
    <xf numFmtId="10" fontId="6" fillId="2" borderId="11" xfId="2" applyNumberFormat="1" applyFont="1" applyFill="1" applyBorder="1" applyAlignment="1">
      <alignment horizontal="right" vertical="center"/>
    </xf>
    <xf numFmtId="10" fontId="6" fillId="2" borderId="12" xfId="2" applyNumberFormat="1" applyFont="1" applyFill="1" applyBorder="1" applyAlignment="1">
      <alignment horizontal="right" vertical="center"/>
    </xf>
    <xf numFmtId="166" fontId="12" fillId="3" borderId="0" xfId="1" applyNumberFormat="1" applyFont="1" applyFill="1" applyAlignment="1">
      <alignment vertical="center"/>
    </xf>
    <xf numFmtId="164" fontId="13" fillId="0" borderId="0" xfId="1" applyFont="1" applyAlignment="1">
      <alignment vertical="center"/>
    </xf>
    <xf numFmtId="166" fontId="13" fillId="0" borderId="0" xfId="1" applyNumberFormat="1" applyFont="1" applyAlignment="1">
      <alignment horizontal="right" vertical="center" wrapText="1"/>
    </xf>
    <xf numFmtId="166" fontId="13" fillId="0" borderId="0" xfId="1" applyNumberFormat="1" applyFont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 wrapText="1"/>
    </xf>
    <xf numFmtId="166" fontId="13" fillId="2" borderId="6" xfId="1" applyNumberFormat="1" applyFont="1" applyFill="1" applyBorder="1" applyAlignment="1">
      <alignment horizontal="right" vertical="center" wrapText="1"/>
    </xf>
    <xf numFmtId="166" fontId="13" fillId="2" borderId="5" xfId="1" applyNumberFormat="1" applyFont="1" applyFill="1" applyBorder="1" applyAlignment="1">
      <alignment horizontal="right" vertical="center"/>
    </xf>
    <xf numFmtId="166" fontId="13" fillId="2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Border="1" applyAlignment="1">
      <alignment horizontal="right" vertical="center" wrapText="1"/>
    </xf>
    <xf numFmtId="166" fontId="13" fillId="0" borderId="6" xfId="1" applyNumberFormat="1" applyFont="1" applyBorder="1" applyAlignment="1">
      <alignment horizontal="right" vertical="center" wrapText="1"/>
    </xf>
    <xf numFmtId="166" fontId="13" fillId="0" borderId="5" xfId="1" applyNumberFormat="1" applyFont="1" applyBorder="1" applyAlignment="1">
      <alignment horizontal="right" vertical="center"/>
    </xf>
    <xf numFmtId="166" fontId="13" fillId="0" borderId="0" xfId="1" applyNumberFormat="1" applyFont="1" applyBorder="1" applyAlignment="1">
      <alignment horizontal="right" vertical="center"/>
    </xf>
    <xf numFmtId="166" fontId="15" fillId="2" borderId="11" xfId="1" applyNumberFormat="1" applyFont="1" applyFill="1" applyBorder="1" applyAlignment="1">
      <alignment horizontal="right" vertical="center" wrapText="1"/>
    </xf>
    <xf numFmtId="166" fontId="15" fillId="2" borderId="10" xfId="1" applyNumberFormat="1" applyFont="1" applyFill="1" applyBorder="1" applyAlignment="1">
      <alignment horizontal="right" vertical="center"/>
    </xf>
    <xf numFmtId="166" fontId="15" fillId="2" borderId="11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Alignment="1">
      <alignment horizontal="right" vertical="center" wrapText="1"/>
    </xf>
    <xf numFmtId="166" fontId="15" fillId="0" borderId="0" xfId="1" applyNumberFormat="1" applyFont="1" applyFill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 wrapText="1"/>
    </xf>
    <xf numFmtId="166" fontId="13" fillId="2" borderId="12" xfId="1" applyNumberFormat="1" applyFont="1" applyFill="1" applyBorder="1" applyAlignment="1">
      <alignment horizontal="right" vertical="center" wrapText="1"/>
    </xf>
    <xf numFmtId="166" fontId="13" fillId="2" borderId="10" xfId="1" applyNumberFormat="1" applyFont="1" applyFill="1" applyBorder="1" applyAlignment="1">
      <alignment horizontal="right" vertical="center"/>
    </xf>
    <xf numFmtId="166" fontId="13" fillId="2" borderId="11" xfId="1" applyNumberFormat="1" applyFont="1" applyFill="1" applyBorder="1" applyAlignment="1">
      <alignment horizontal="right" vertical="center"/>
    </xf>
    <xf numFmtId="166" fontId="13" fillId="2" borderId="12" xfId="1" applyNumberFormat="1" applyFont="1" applyFill="1" applyBorder="1" applyAlignment="1">
      <alignment horizontal="right" vertical="center"/>
    </xf>
    <xf numFmtId="165" fontId="13" fillId="0" borderId="0" xfId="2" applyNumberFormat="1" applyFont="1" applyAlignment="1">
      <alignment vertical="center"/>
    </xf>
    <xf numFmtId="165" fontId="13" fillId="0" borderId="9" xfId="2" applyNumberFormat="1" applyFont="1" applyFill="1" applyBorder="1" applyAlignment="1">
      <alignment horizontal="right" vertical="center" wrapText="1"/>
    </xf>
    <xf numFmtId="165" fontId="13" fillId="0" borderId="4" xfId="2" applyNumberFormat="1" applyFont="1" applyFill="1" applyBorder="1" applyAlignment="1">
      <alignment horizontal="right" vertical="center" wrapText="1"/>
    </xf>
    <xf numFmtId="165" fontId="13" fillId="0" borderId="3" xfId="2" applyNumberFormat="1" applyFont="1" applyBorder="1" applyAlignment="1">
      <alignment horizontal="right" vertical="center"/>
    </xf>
    <xf numFmtId="165" fontId="13" fillId="0" borderId="9" xfId="2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 wrapText="1"/>
    </xf>
    <xf numFmtId="165" fontId="13" fillId="0" borderId="6" xfId="2" applyNumberFormat="1" applyFont="1" applyFill="1" applyBorder="1" applyAlignment="1">
      <alignment horizontal="right" vertical="center" wrapText="1"/>
    </xf>
    <xf numFmtId="165" fontId="13" fillId="0" borderId="5" xfId="2" applyNumberFormat="1" applyFont="1" applyBorder="1" applyAlignment="1">
      <alignment horizontal="right" vertical="center"/>
    </xf>
    <xf numFmtId="165" fontId="13" fillId="0" borderId="0" xfId="2" applyNumberFormat="1" applyFont="1" applyBorder="1" applyAlignment="1">
      <alignment horizontal="right" vertical="center"/>
    </xf>
    <xf numFmtId="166" fontId="13" fillId="0" borderId="6" xfId="1" applyNumberFormat="1" applyFont="1" applyFill="1" applyBorder="1" applyAlignment="1">
      <alignment horizontal="right" vertical="center" wrapText="1"/>
    </xf>
    <xf numFmtId="9" fontId="15" fillId="2" borderId="11" xfId="2" applyFont="1" applyFill="1" applyBorder="1" applyAlignment="1">
      <alignment horizontal="right" vertical="center" wrapText="1"/>
    </xf>
    <xf numFmtId="9" fontId="15" fillId="2" borderId="12" xfId="2" applyFont="1" applyFill="1" applyBorder="1" applyAlignment="1">
      <alignment horizontal="right" vertical="center" wrapText="1"/>
    </xf>
    <xf numFmtId="9" fontId="13" fillId="0" borderId="0" xfId="2" applyFont="1" applyAlignment="1">
      <alignment vertical="center"/>
    </xf>
    <xf numFmtId="9" fontId="15" fillId="0" borderId="0" xfId="2" applyFont="1" applyFill="1" applyAlignment="1">
      <alignment horizontal="right" vertical="center" wrapText="1"/>
    </xf>
    <xf numFmtId="9" fontId="15" fillId="0" borderId="0" xfId="2" applyFont="1" applyAlignment="1">
      <alignment horizontal="right" vertical="center"/>
    </xf>
    <xf numFmtId="9" fontId="13" fillId="0" borderId="9" xfId="2" applyFont="1" applyFill="1" applyBorder="1" applyAlignment="1">
      <alignment horizontal="right" vertical="center" wrapText="1"/>
    </xf>
    <xf numFmtId="9" fontId="13" fillId="0" borderId="4" xfId="2" applyFont="1" applyFill="1" applyBorder="1" applyAlignment="1">
      <alignment horizontal="right" vertical="center" wrapText="1"/>
    </xf>
    <xf numFmtId="9" fontId="13" fillId="0" borderId="3" xfId="2" applyFont="1" applyFill="1" applyBorder="1" applyAlignment="1">
      <alignment horizontal="right" vertical="center"/>
    </xf>
    <xf numFmtId="9" fontId="13" fillId="0" borderId="9" xfId="2" applyFont="1" applyFill="1" applyBorder="1" applyAlignment="1">
      <alignment horizontal="right" vertical="center"/>
    </xf>
    <xf numFmtId="9" fontId="13" fillId="0" borderId="4" xfId="2" applyFont="1" applyFill="1" applyBorder="1" applyAlignment="1">
      <alignment horizontal="right" vertical="center"/>
    </xf>
    <xf numFmtId="9" fontId="13" fillId="0" borderId="1" xfId="2" applyFont="1" applyFill="1" applyBorder="1" applyAlignment="1">
      <alignment horizontal="right" vertical="center" wrapText="1"/>
    </xf>
    <xf numFmtId="9" fontId="13" fillId="0" borderId="8" xfId="2" applyFont="1" applyFill="1" applyBorder="1" applyAlignment="1">
      <alignment horizontal="right" vertical="center" wrapText="1"/>
    </xf>
    <xf numFmtId="9" fontId="13" fillId="0" borderId="7" xfId="2" applyFont="1" applyFill="1" applyBorder="1" applyAlignment="1">
      <alignment horizontal="right" vertical="center"/>
    </xf>
    <xf numFmtId="9" fontId="13" fillId="0" borderId="1" xfId="2" applyFont="1" applyFill="1" applyBorder="1" applyAlignment="1">
      <alignment horizontal="right" vertical="center"/>
    </xf>
    <xf numFmtId="9" fontId="13" fillId="0" borderId="8" xfId="2" applyFont="1" applyFill="1" applyBorder="1" applyAlignment="1">
      <alignment horizontal="right" vertical="center"/>
    </xf>
    <xf numFmtId="9" fontId="13" fillId="0" borderId="0" xfId="2" applyFont="1" applyFill="1" applyBorder="1" applyAlignment="1">
      <alignment horizontal="right" vertical="center" wrapText="1"/>
    </xf>
    <xf numFmtId="9" fontId="13" fillId="0" borderId="0" xfId="2" applyFont="1" applyFill="1" applyBorder="1" applyAlignment="1">
      <alignment horizontal="right" vertical="center"/>
    </xf>
    <xf numFmtId="166" fontId="15" fillId="0" borderId="0" xfId="1" applyNumberFormat="1" applyFont="1" applyAlignment="1">
      <alignment vertical="center"/>
    </xf>
    <xf numFmtId="3" fontId="13" fillId="0" borderId="11" xfId="0" applyNumberFormat="1" applyFont="1" applyBorder="1" applyAlignment="1">
      <alignment horizontal="right"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166" fontId="17" fillId="0" borderId="0" xfId="1" applyNumberFormat="1" applyFont="1" applyAlignment="1">
      <alignment vertical="center"/>
    </xf>
    <xf numFmtId="3" fontId="16" fillId="0" borderId="11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164" fontId="5" fillId="0" borderId="10" xfId="1" applyFont="1" applyBorder="1" applyAlignment="1">
      <alignment vertical="center"/>
    </xf>
    <xf numFmtId="0" fontId="16" fillId="0" borderId="0" xfId="0" applyFont="1" applyAlignment="1">
      <alignment vertical="center"/>
    </xf>
    <xf numFmtId="10" fontId="5" fillId="0" borderId="0" xfId="1" applyNumberFormat="1" applyFont="1" applyAlignment="1">
      <alignment vertical="center"/>
    </xf>
    <xf numFmtId="10" fontId="5" fillId="0" borderId="0" xfId="0" applyNumberFormat="1" applyFont="1" applyAlignment="1">
      <alignment horizontal="right" vertical="center"/>
    </xf>
    <xf numFmtId="170" fontId="5" fillId="0" borderId="0" xfId="2" applyNumberFormat="1" applyFont="1" applyAlignment="1">
      <alignment horizontal="right" vertical="center"/>
    </xf>
    <xf numFmtId="10" fontId="6" fillId="2" borderId="11" xfId="2" applyNumberFormat="1" applyFont="1" applyFill="1" applyBorder="1" applyAlignment="1">
      <alignment vertical="center"/>
    </xf>
    <xf numFmtId="172" fontId="5" fillId="0" borderId="0" xfId="0" applyNumberFormat="1" applyFont="1" applyAlignment="1">
      <alignment horizontal="right" vertical="center"/>
    </xf>
    <xf numFmtId="10" fontId="6" fillId="0" borderId="0" xfId="2" applyNumberFormat="1" applyFont="1" applyAlignment="1">
      <alignment horizontal="right" vertical="center"/>
    </xf>
    <xf numFmtId="173" fontId="6" fillId="2" borderId="1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horizontal="left"/>
    </xf>
    <xf numFmtId="166" fontId="5" fillId="0" borderId="0" xfId="1" applyNumberFormat="1" applyFont="1" applyFill="1" applyBorder="1" applyAlignment="1">
      <alignment horizontal="left" vertical="center"/>
    </xf>
    <xf numFmtId="166" fontId="5" fillId="0" borderId="6" xfId="1" applyNumberFormat="1" applyFont="1" applyFill="1" applyBorder="1" applyAlignment="1">
      <alignment horizontal="left" vertical="center"/>
    </xf>
    <xf numFmtId="167" fontId="5" fillId="0" borderId="0" xfId="1" applyNumberFormat="1" applyFont="1" applyFill="1" applyBorder="1" applyAlignment="1">
      <alignment vertical="center"/>
    </xf>
    <xf numFmtId="10" fontId="11" fillId="0" borderId="5" xfId="2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vertical="center"/>
    </xf>
    <xf numFmtId="166" fontId="13" fillId="0" borderId="0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vertical="center"/>
    </xf>
    <xf numFmtId="166" fontId="15" fillId="0" borderId="0" xfId="1" applyNumberFormat="1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8" fillId="0" borderId="10" xfId="1" applyFont="1" applyBorder="1" applyAlignment="1">
      <alignment vertical="center"/>
    </xf>
    <xf numFmtId="166" fontId="13" fillId="0" borderId="0" xfId="1" applyNumberFormat="1" applyFont="1" applyFill="1" applyAlignment="1">
      <alignment vertical="center"/>
    </xf>
    <xf numFmtId="166" fontId="13" fillId="0" borderId="0" xfId="1" applyNumberFormat="1" applyFont="1" applyFill="1" applyAlignment="1">
      <alignment horizontal="center" vertical="center"/>
    </xf>
    <xf numFmtId="166" fontId="16" fillId="0" borderId="0" xfId="1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9" fontId="13" fillId="0" borderId="0" xfId="2" applyFont="1" applyFill="1" applyAlignment="1">
      <alignment vertical="center"/>
    </xf>
    <xf numFmtId="166" fontId="15" fillId="2" borderId="12" xfId="1" applyNumberFormat="1" applyFont="1" applyFill="1" applyBorder="1" applyAlignment="1">
      <alignment horizontal="right" vertical="center" wrapText="1"/>
    </xf>
    <xf numFmtId="164" fontId="13" fillId="0" borderId="3" xfId="1" applyFont="1" applyFill="1" applyBorder="1" applyAlignment="1">
      <alignment vertical="center"/>
    </xf>
    <xf numFmtId="164" fontId="13" fillId="0" borderId="7" xfId="1" applyFont="1" applyFill="1" applyBorder="1" applyAlignment="1">
      <alignment vertical="center"/>
    </xf>
    <xf numFmtId="9" fontId="5" fillId="0" borderId="9" xfId="2" applyFont="1" applyFill="1" applyBorder="1" applyAlignment="1">
      <alignment horizontal="right" vertical="center" wrapText="1"/>
    </xf>
    <xf numFmtId="9" fontId="5" fillId="0" borderId="1" xfId="2" applyFont="1" applyFill="1" applyBorder="1" applyAlignment="1">
      <alignment horizontal="right" vertical="center" wrapText="1"/>
    </xf>
    <xf numFmtId="165" fontId="5" fillId="0" borderId="0" xfId="0" applyNumberFormat="1" applyFont="1"/>
    <xf numFmtId="0" fontId="5" fillId="0" borderId="6" xfId="0" applyFont="1" applyBorder="1" applyAlignment="1">
      <alignment vertical="center"/>
    </xf>
    <xf numFmtId="166" fontId="5" fillId="0" borderId="5" xfId="1" applyNumberFormat="1" applyFont="1" applyBorder="1" applyAlignment="1">
      <alignment horizontal="right" vertical="center"/>
    </xf>
    <xf numFmtId="172" fontId="13" fillId="0" borderId="0" xfId="1" applyNumberFormat="1" applyFont="1" applyFill="1" applyAlignment="1">
      <alignment vertical="center"/>
    </xf>
    <xf numFmtId="10" fontId="5" fillId="0" borderId="0" xfId="2" applyNumberFormat="1" applyFont="1"/>
    <xf numFmtId="165" fontId="5" fillId="0" borderId="4" xfId="2" applyNumberFormat="1" applyFont="1" applyFill="1" applyBorder="1" applyAlignment="1">
      <alignment vertical="center"/>
    </xf>
    <xf numFmtId="165" fontId="6" fillId="2" borderId="10" xfId="2" applyNumberFormat="1" applyFont="1" applyFill="1" applyBorder="1" applyAlignment="1">
      <alignment horizontal="right" vertical="center" indent="1"/>
    </xf>
    <xf numFmtId="173" fontId="5" fillId="0" borderId="0" xfId="1" applyNumberFormat="1" applyFont="1" applyFill="1" applyAlignment="1">
      <alignment vertical="center"/>
    </xf>
    <xf numFmtId="9" fontId="5" fillId="0" borderId="0" xfId="2" applyFont="1" applyFill="1" applyAlignment="1">
      <alignment vertical="center"/>
    </xf>
    <xf numFmtId="166" fontId="5" fillId="0" borderId="0" xfId="1" applyNumberFormat="1" applyFont="1" applyAlignment="1">
      <alignment horizontal="left" vertical="center"/>
    </xf>
    <xf numFmtId="166" fontId="5" fillId="0" borderId="0" xfId="1" applyNumberFormat="1" applyFont="1" applyAlignment="1">
      <alignment horizontal="left"/>
    </xf>
    <xf numFmtId="166" fontId="6" fillId="0" borderId="5" xfId="1" applyNumberFormat="1" applyFont="1" applyBorder="1" applyAlignment="1">
      <alignment vertical="center"/>
    </xf>
    <xf numFmtId="9" fontId="0" fillId="0" borderId="0" xfId="2" applyFont="1"/>
    <xf numFmtId="165" fontId="0" fillId="0" borderId="0" xfId="2" applyNumberFormat="1" applyFont="1"/>
    <xf numFmtId="166" fontId="0" fillId="0" borderId="0" xfId="1" applyNumberFormat="1" applyFont="1"/>
    <xf numFmtId="0" fontId="19" fillId="0" borderId="0" xfId="3" applyFont="1" applyFill="1"/>
    <xf numFmtId="0" fontId="18" fillId="0" borderId="0" xfId="0" applyFont="1"/>
    <xf numFmtId="0" fontId="19" fillId="0" borderId="0" xfId="0" applyFont="1"/>
    <xf numFmtId="10" fontId="0" fillId="0" borderId="0" xfId="0" applyNumberFormat="1"/>
    <xf numFmtId="0" fontId="20" fillId="4" borderId="0" xfId="3" applyFont="1" applyFill="1"/>
    <xf numFmtId="9" fontId="0" fillId="0" borderId="0" xfId="0" applyNumberFormat="1"/>
    <xf numFmtId="0" fontId="21" fillId="0" borderId="0" xfId="3" applyFont="1" applyAlignment="1">
      <alignment horizontal="center" vertical="center"/>
    </xf>
    <xf numFmtId="0" fontId="21" fillId="0" borderId="0" xfId="3" applyFont="1"/>
    <xf numFmtId="164" fontId="6" fillId="0" borderId="0" xfId="1" applyFont="1" applyFill="1" applyBorder="1" applyAlignment="1">
      <alignment vertical="center"/>
    </xf>
    <xf numFmtId="164" fontId="7" fillId="3" borderId="9" xfId="1" applyFont="1" applyFill="1" applyBorder="1" applyAlignment="1">
      <alignment horizontal="left" vertical="center"/>
    </xf>
    <xf numFmtId="164" fontId="6" fillId="2" borderId="11" xfId="1" applyFont="1" applyFill="1" applyBorder="1" applyAlignment="1">
      <alignment vertical="center"/>
    </xf>
    <xf numFmtId="164" fontId="5" fillId="0" borderId="9" xfId="1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167" fontId="5" fillId="0" borderId="0" xfId="1" applyNumberFormat="1" applyFont="1" applyBorder="1" applyAlignment="1">
      <alignment horizontal="left" vertical="center"/>
    </xf>
    <xf numFmtId="164" fontId="6" fillId="2" borderId="11" xfId="1" applyFont="1" applyFill="1" applyBorder="1" applyAlignment="1">
      <alignment horizontal="left" vertical="center"/>
    </xf>
    <xf numFmtId="164" fontId="15" fillId="2" borderId="11" xfId="1" applyFont="1" applyFill="1" applyBorder="1" applyAlignment="1">
      <alignment vertical="center"/>
    </xf>
    <xf numFmtId="164" fontId="7" fillId="3" borderId="9" xfId="1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7" fontId="6" fillId="0" borderId="0" xfId="1" applyNumberFormat="1" applyFont="1" applyAlignment="1">
      <alignment horizontal="right" vertical="center"/>
    </xf>
    <xf numFmtId="10" fontId="5" fillId="0" borderId="0" xfId="2" applyNumberFormat="1" applyFont="1" applyBorder="1" applyAlignment="1">
      <alignment vertical="center"/>
    </xf>
    <xf numFmtId="10" fontId="5" fillId="0" borderId="1" xfId="2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15" fillId="2" borderId="0" xfId="1" applyFont="1" applyFill="1" applyBorder="1" applyAlignment="1">
      <alignment vertical="center"/>
    </xf>
    <xf numFmtId="9" fontId="13" fillId="0" borderId="9" xfId="2" applyFont="1" applyFill="1" applyBorder="1" applyAlignment="1">
      <alignment vertical="center"/>
    </xf>
    <xf numFmtId="9" fontId="13" fillId="0" borderId="1" xfId="2" applyFont="1" applyFill="1" applyBorder="1" applyAlignment="1">
      <alignment vertical="center"/>
    </xf>
    <xf numFmtId="164" fontId="15" fillId="2" borderId="3" xfId="1" applyFont="1" applyFill="1" applyBorder="1" applyAlignment="1">
      <alignment vertical="center"/>
    </xf>
    <xf numFmtId="164" fontId="15" fillId="2" borderId="9" xfId="1" applyFont="1" applyFill="1" applyBorder="1" applyAlignment="1">
      <alignment vertical="center"/>
    </xf>
    <xf numFmtId="166" fontId="13" fillId="2" borderId="9" xfId="1" applyNumberFormat="1" applyFont="1" applyFill="1" applyBorder="1" applyAlignment="1">
      <alignment horizontal="right" vertical="center" wrapText="1"/>
    </xf>
    <xf numFmtId="166" fontId="13" fillId="2" borderId="4" xfId="1" applyNumberFormat="1" applyFont="1" applyFill="1" applyBorder="1" applyAlignment="1">
      <alignment horizontal="right" vertical="center" wrapText="1"/>
    </xf>
    <xf numFmtId="165" fontId="13" fillId="0" borderId="9" xfId="2" applyNumberFormat="1" applyFont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9" fontId="15" fillId="2" borderId="11" xfId="2" applyFont="1" applyFill="1" applyBorder="1" applyAlignment="1">
      <alignment vertical="center"/>
    </xf>
    <xf numFmtId="166" fontId="8" fillId="0" borderId="11" xfId="1" applyNumberFormat="1" applyFont="1" applyBorder="1" applyAlignment="1">
      <alignment vertical="center"/>
    </xf>
    <xf numFmtId="166" fontId="5" fillId="0" borderId="11" xfId="1" applyNumberFormat="1" applyFont="1" applyBorder="1" applyAlignment="1">
      <alignment vertical="center"/>
    </xf>
    <xf numFmtId="165" fontId="5" fillId="2" borderId="11" xfId="0" applyNumberFormat="1" applyFont="1" applyFill="1" applyBorder="1" applyAlignment="1">
      <alignment horizontal="right" vertical="center"/>
    </xf>
    <xf numFmtId="166" fontId="5" fillId="5" borderId="0" xfId="1" applyNumberFormat="1" applyFont="1" applyFill="1" applyBorder="1" applyAlignment="1">
      <alignment vertical="center"/>
    </xf>
    <xf numFmtId="166" fontId="13" fillId="0" borderId="0" xfId="1" applyNumberFormat="1" applyFont="1" applyBorder="1" applyAlignment="1">
      <alignment vertical="center"/>
    </xf>
    <xf numFmtId="9" fontId="5" fillId="0" borderId="0" xfId="2" applyFont="1"/>
    <xf numFmtId="9" fontId="5" fillId="0" borderId="0" xfId="0" applyNumberFormat="1" applyFont="1"/>
    <xf numFmtId="166" fontId="5" fillId="0" borderId="8" xfId="1" applyNumberFormat="1" applyFont="1" applyBorder="1" applyAlignment="1">
      <alignment horizontal="left" vertical="center"/>
    </xf>
    <xf numFmtId="165" fontId="8" fillId="0" borderId="0" xfId="2" applyNumberFormat="1" applyFont="1" applyFill="1" applyBorder="1" applyAlignment="1">
      <alignment vertical="center"/>
    </xf>
    <xf numFmtId="167" fontId="8" fillId="0" borderId="0" xfId="1" applyNumberFormat="1" applyFont="1" applyFill="1" applyBorder="1" applyAlignment="1">
      <alignment vertical="center"/>
    </xf>
    <xf numFmtId="9" fontId="5" fillId="0" borderId="9" xfId="2" applyFont="1" applyFill="1" applyBorder="1" applyAlignment="1">
      <alignment horizontal="right" vertical="center"/>
    </xf>
    <xf numFmtId="166" fontId="7" fillId="3" borderId="6" xfId="1" applyNumberFormat="1" applyFont="1" applyFill="1" applyBorder="1" applyAlignment="1">
      <alignment horizontal="center" vertical="center"/>
    </xf>
    <xf numFmtId="171" fontId="6" fillId="2" borderId="9" xfId="2" applyNumberFormat="1" applyFont="1" applyFill="1" applyBorder="1" applyAlignment="1">
      <alignment vertical="center"/>
    </xf>
    <xf numFmtId="10" fontId="5" fillId="0" borderId="9" xfId="2" applyNumberFormat="1" applyFont="1" applyFill="1" applyBorder="1" applyAlignment="1">
      <alignment vertical="center"/>
    </xf>
    <xf numFmtId="10" fontId="6" fillId="2" borderId="12" xfId="2" applyNumberFormat="1" applyFont="1" applyFill="1" applyBorder="1" applyAlignment="1">
      <alignment vertical="center"/>
    </xf>
    <xf numFmtId="10" fontId="5" fillId="2" borderId="11" xfId="2" applyNumberFormat="1" applyFont="1" applyFill="1" applyBorder="1" applyAlignment="1">
      <alignment horizontal="right" vertical="center"/>
    </xf>
    <xf numFmtId="10" fontId="5" fillId="0" borderId="9" xfId="2" applyNumberFormat="1" applyFont="1" applyBorder="1" applyAlignment="1">
      <alignment horizontal="right" vertical="center"/>
    </xf>
    <xf numFmtId="165" fontId="13" fillId="0" borderId="0" xfId="2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5" fontId="13" fillId="0" borderId="9" xfId="2" applyNumberFormat="1" applyFont="1" applyFill="1" applyBorder="1" applyAlignment="1">
      <alignment horizontal="right" vertical="center"/>
    </xf>
    <xf numFmtId="166" fontId="5" fillId="0" borderId="4" xfId="1" applyNumberFormat="1" applyFont="1" applyBorder="1" applyAlignment="1">
      <alignment horizontal="left" vertical="center"/>
    </xf>
    <xf numFmtId="164" fontId="0" fillId="0" borderId="0" xfId="1" applyFont="1"/>
    <xf numFmtId="166" fontId="22" fillId="3" borderId="3" xfId="1" applyNumberFormat="1" applyFont="1" applyFill="1" applyBorder="1" applyAlignment="1">
      <alignment horizontal="center" vertical="center"/>
    </xf>
    <xf numFmtId="166" fontId="22" fillId="3" borderId="9" xfId="1" applyNumberFormat="1" applyFont="1" applyFill="1" applyBorder="1" applyAlignment="1">
      <alignment horizontal="center" vertical="center"/>
    </xf>
    <xf numFmtId="166" fontId="22" fillId="3" borderId="4" xfId="1" applyNumberFormat="1" applyFont="1" applyFill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166" fontId="23" fillId="0" borderId="0" xfId="1" applyNumberFormat="1" applyFont="1" applyAlignment="1">
      <alignment vertical="center"/>
    </xf>
    <xf numFmtId="9" fontId="15" fillId="2" borderId="10" xfId="2" applyFont="1" applyFill="1" applyBorder="1" applyAlignment="1">
      <alignment horizontal="right" vertical="center" wrapText="1"/>
    </xf>
    <xf numFmtId="166" fontId="5" fillId="0" borderId="6" xfId="1" applyNumberFormat="1" applyFont="1" applyFill="1" applyBorder="1" applyAlignment="1">
      <alignment vertical="center"/>
    </xf>
    <xf numFmtId="10" fontId="6" fillId="0" borderId="0" xfId="2" applyNumberFormat="1" applyFont="1"/>
    <xf numFmtId="10" fontId="5" fillId="0" borderId="5" xfId="2" applyNumberFormat="1" applyFont="1" applyFill="1" applyBorder="1" applyAlignment="1">
      <alignment horizontal="right" vertical="center"/>
    </xf>
    <xf numFmtId="10" fontId="6" fillId="2" borderId="11" xfId="0" applyNumberFormat="1" applyFont="1" applyFill="1" applyBorder="1" applyAlignment="1">
      <alignment horizontal="right" vertical="center"/>
    </xf>
    <xf numFmtId="10" fontId="6" fillId="2" borderId="12" xfId="0" applyNumberFormat="1" applyFont="1" applyFill="1" applyBorder="1" applyAlignment="1">
      <alignment horizontal="right" vertical="center"/>
    </xf>
    <xf numFmtId="10" fontId="6" fillId="2" borderId="10" xfId="0" applyNumberFormat="1" applyFont="1" applyFill="1" applyBorder="1" applyAlignment="1">
      <alignment horizontal="right" vertical="center"/>
    </xf>
    <xf numFmtId="10" fontId="5" fillId="0" borderId="5" xfId="2" applyNumberFormat="1" applyFont="1" applyBorder="1" applyAlignment="1">
      <alignment horizontal="right" vertical="center"/>
    </xf>
    <xf numFmtId="10" fontId="6" fillId="0" borderId="0" xfId="2" applyNumberFormat="1" applyFont="1" applyBorder="1" applyAlignment="1">
      <alignment horizontal="right" vertical="center"/>
    </xf>
    <xf numFmtId="10" fontId="6" fillId="0" borderId="6" xfId="2" applyNumberFormat="1" applyFont="1" applyBorder="1" applyAlignment="1">
      <alignment horizontal="right" vertical="center"/>
    </xf>
    <xf numFmtId="10" fontId="6" fillId="0" borderId="5" xfId="2" applyNumberFormat="1" applyFont="1" applyBorder="1" applyAlignment="1">
      <alignment horizontal="right" vertical="center"/>
    </xf>
    <xf numFmtId="10" fontId="24" fillId="0" borderId="6" xfId="2" applyNumberFormat="1" applyFont="1" applyBorder="1" applyAlignment="1">
      <alignment horizontal="right" vertical="center"/>
    </xf>
    <xf numFmtId="10" fontId="6" fillId="2" borderId="10" xfId="2" applyNumberFormat="1" applyFont="1" applyFill="1" applyBorder="1" applyAlignment="1">
      <alignment horizontal="right" vertical="center"/>
    </xf>
    <xf numFmtId="164" fontId="5" fillId="0" borderId="0" xfId="1" applyFont="1" applyBorder="1" applyAlignment="1">
      <alignment horizontal="right" vertical="center"/>
    </xf>
    <xf numFmtId="164" fontId="5" fillId="0" borderId="6" xfId="1" applyFont="1" applyBorder="1" applyAlignment="1">
      <alignment horizontal="right" vertical="center"/>
    </xf>
    <xf numFmtId="164" fontId="5" fillId="0" borderId="0" xfId="1" applyFont="1" applyAlignment="1">
      <alignment horizontal="right" vertical="center"/>
    </xf>
    <xf numFmtId="164" fontId="5" fillId="0" borderId="5" xfId="1" applyFont="1" applyBorder="1" applyAlignment="1">
      <alignment horizontal="right" vertical="center"/>
    </xf>
    <xf numFmtId="10" fontId="6" fillId="2" borderId="10" xfId="1" applyNumberFormat="1" applyFont="1" applyFill="1" applyBorder="1" applyAlignment="1">
      <alignment vertical="center"/>
    </xf>
    <xf numFmtId="10" fontId="6" fillId="2" borderId="10" xfId="2" applyNumberFormat="1" applyFont="1" applyFill="1" applyBorder="1" applyAlignment="1">
      <alignment vertical="center"/>
    </xf>
    <xf numFmtId="10" fontId="6" fillId="2" borderId="11" xfId="1" applyNumberFormat="1" applyFont="1" applyFill="1" applyBorder="1" applyAlignment="1">
      <alignment vertical="center"/>
    </xf>
    <xf numFmtId="10" fontId="5" fillId="2" borderId="10" xfId="2" applyNumberFormat="1" applyFont="1" applyFill="1" applyBorder="1" applyAlignment="1">
      <alignment horizontal="right" vertical="center"/>
    </xf>
    <xf numFmtId="10" fontId="5" fillId="0" borderId="3" xfId="2" applyNumberFormat="1" applyFont="1" applyBorder="1" applyAlignment="1">
      <alignment horizontal="right" vertical="center"/>
    </xf>
    <xf numFmtId="167" fontId="6" fillId="0" borderId="3" xfId="1" applyNumberFormat="1" applyFont="1" applyFill="1" applyBorder="1" applyAlignment="1">
      <alignment horizontal="left" vertical="center"/>
    </xf>
    <xf numFmtId="167" fontId="6" fillId="0" borderId="9" xfId="1" applyNumberFormat="1" applyFont="1" applyFill="1" applyBorder="1" applyAlignment="1">
      <alignment horizontal="left" vertical="center"/>
    </xf>
    <xf numFmtId="167" fontId="6" fillId="0" borderId="9" xfId="1" applyNumberFormat="1" applyFont="1" applyFill="1" applyBorder="1" applyAlignment="1">
      <alignment vertical="center"/>
    </xf>
    <xf numFmtId="167" fontId="6" fillId="0" borderId="4" xfId="1" applyNumberFormat="1" applyFont="1" applyFill="1" applyBorder="1" applyAlignment="1">
      <alignment vertical="center"/>
    </xf>
    <xf numFmtId="167" fontId="6" fillId="0" borderId="0" xfId="1" applyNumberFormat="1" applyFont="1" applyFill="1" applyAlignment="1">
      <alignment vertical="center"/>
    </xf>
    <xf numFmtId="167" fontId="6" fillId="0" borderId="3" xfId="1" applyNumberFormat="1" applyFont="1" applyFill="1" applyBorder="1" applyAlignment="1">
      <alignment vertical="center"/>
    </xf>
    <xf numFmtId="164" fontId="8" fillId="0" borderId="5" xfId="1" applyFont="1" applyFill="1" applyBorder="1" applyAlignment="1">
      <alignment horizontal="lef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8" fillId="0" borderId="6" xfId="2" applyNumberFormat="1" applyFont="1" applyFill="1" applyBorder="1" applyAlignment="1">
      <alignment vertical="center"/>
    </xf>
    <xf numFmtId="164" fontId="8" fillId="0" borderId="5" xfId="1" applyFont="1" applyFill="1" applyBorder="1" applyAlignment="1">
      <alignment vertical="center"/>
    </xf>
    <xf numFmtId="164" fontId="8" fillId="0" borderId="0" xfId="1" applyFont="1" applyFill="1" applyBorder="1" applyAlignment="1">
      <alignment vertical="center"/>
    </xf>
    <xf numFmtId="165" fontId="8" fillId="0" borderId="5" xfId="2" applyNumberFormat="1" applyFont="1" applyFill="1" applyBorder="1" applyAlignment="1">
      <alignment vertical="center"/>
    </xf>
    <xf numFmtId="164" fontId="5" fillId="0" borderId="3" xfId="1" applyFont="1" applyFill="1" applyBorder="1" applyAlignment="1">
      <alignment horizontal="left" vertical="center"/>
    </xf>
    <xf numFmtId="165" fontId="5" fillId="0" borderId="0" xfId="2" applyNumberFormat="1" applyFont="1" applyFill="1" applyAlignment="1">
      <alignment vertical="center"/>
    </xf>
    <xf numFmtId="164" fontId="5" fillId="0" borderId="5" xfId="1" applyFont="1" applyFill="1" applyBorder="1" applyAlignment="1">
      <alignment horizontal="left" vertical="center"/>
    </xf>
    <xf numFmtId="167" fontId="8" fillId="0" borderId="0" xfId="1" applyNumberFormat="1" applyFont="1" applyFill="1" applyBorder="1" applyAlignment="1">
      <alignment horizontal="left" vertical="center"/>
    </xf>
    <xf numFmtId="167" fontId="8" fillId="0" borderId="6" xfId="1" applyNumberFormat="1" applyFont="1" applyFill="1" applyBorder="1" applyAlignment="1">
      <alignment vertical="center"/>
    </xf>
    <xf numFmtId="167" fontId="8" fillId="0" borderId="0" xfId="1" applyNumberFormat="1" applyFont="1" applyFill="1" applyAlignment="1">
      <alignment vertical="center"/>
    </xf>
    <xf numFmtId="167" fontId="8" fillId="0" borderId="5" xfId="1" applyNumberFormat="1" applyFont="1" applyFill="1" applyBorder="1" applyAlignment="1">
      <alignment vertical="center"/>
    </xf>
    <xf numFmtId="9" fontId="13" fillId="0" borderId="6" xfId="2" applyFont="1" applyFill="1" applyBorder="1" applyAlignment="1">
      <alignment horizontal="right" vertical="center" wrapText="1"/>
    </xf>
    <xf numFmtId="164" fontId="7" fillId="3" borderId="13" xfId="1" applyFont="1" applyFill="1" applyBorder="1" applyAlignment="1">
      <alignment horizontal="center" vertical="center" wrapText="1"/>
    </xf>
    <xf numFmtId="164" fontId="6" fillId="0" borderId="5" xfId="1" applyFont="1" applyBorder="1" applyAlignment="1">
      <alignment horizontal="left" vertical="center"/>
    </xf>
    <xf numFmtId="166" fontId="6" fillId="0" borderId="0" xfId="1" applyNumberFormat="1" applyFont="1" applyBorder="1" applyAlignment="1">
      <alignment horizontal="left" vertical="center"/>
    </xf>
    <xf numFmtId="166" fontId="6" fillId="0" borderId="6" xfId="1" applyNumberFormat="1" applyFont="1" applyBorder="1" applyAlignment="1">
      <alignment horizontal="left" vertical="center"/>
    </xf>
    <xf numFmtId="166" fontId="6" fillId="0" borderId="5" xfId="1" applyNumberFormat="1" applyFont="1" applyBorder="1" applyAlignment="1">
      <alignment horizontal="left" vertical="center"/>
    </xf>
    <xf numFmtId="165" fontId="5" fillId="0" borderId="0" xfId="1" applyNumberFormat="1" applyFont="1" applyAlignment="1">
      <alignment vertical="center"/>
    </xf>
    <xf numFmtId="165" fontId="7" fillId="3" borderId="9" xfId="2" applyNumberFormat="1" applyFont="1" applyFill="1" applyBorder="1" applyAlignment="1">
      <alignment horizontal="center" vertical="center" wrapText="1"/>
    </xf>
    <xf numFmtId="165" fontId="5" fillId="0" borderId="6" xfId="2" applyNumberFormat="1" applyFont="1" applyFill="1" applyBorder="1" applyAlignment="1">
      <alignment horizontal="right" vertical="center"/>
    </xf>
    <xf numFmtId="165" fontId="6" fillId="2" borderId="12" xfId="2" applyNumberFormat="1" applyFont="1" applyFill="1" applyBorder="1" applyAlignment="1">
      <alignment horizontal="right" vertical="center"/>
    </xf>
    <xf numFmtId="165" fontId="10" fillId="0" borderId="6" xfId="2" applyNumberFormat="1" applyFont="1" applyBorder="1" applyAlignment="1">
      <alignment horizontal="right" vertical="center"/>
    </xf>
    <xf numFmtId="165" fontId="5" fillId="0" borderId="8" xfId="2" applyNumberFormat="1" applyFont="1" applyBorder="1" applyAlignment="1">
      <alignment horizontal="right" vertical="center"/>
    </xf>
    <xf numFmtId="9" fontId="5" fillId="0" borderId="0" xfId="2" applyFont="1" applyBorder="1" applyAlignment="1">
      <alignment vertical="center"/>
    </xf>
    <xf numFmtId="9" fontId="5" fillId="0" borderId="6" xfId="2" applyFont="1" applyBorder="1" applyAlignment="1">
      <alignment vertical="center"/>
    </xf>
    <xf numFmtId="2" fontId="5" fillId="0" borderId="0" xfId="2" applyNumberFormat="1" applyFont="1" applyAlignment="1">
      <alignment vertical="center"/>
    </xf>
    <xf numFmtId="9" fontId="5" fillId="0" borderId="4" xfId="2" applyFont="1" applyFill="1" applyBorder="1" applyAlignment="1">
      <alignment horizontal="right" vertical="center"/>
    </xf>
    <xf numFmtId="10" fontId="5" fillId="0" borderId="8" xfId="2" applyNumberFormat="1" applyFont="1" applyBorder="1" applyAlignment="1">
      <alignment vertical="center"/>
    </xf>
    <xf numFmtId="171" fontId="6" fillId="2" borderId="4" xfId="2" applyNumberFormat="1" applyFont="1" applyFill="1" applyBorder="1" applyAlignment="1">
      <alignment vertical="center"/>
    </xf>
    <xf numFmtId="10" fontId="5" fillId="0" borderId="4" xfId="2" applyNumberFormat="1" applyFont="1" applyFill="1" applyBorder="1" applyAlignment="1">
      <alignment vertical="center"/>
    </xf>
    <xf numFmtId="10" fontId="5" fillId="2" borderId="12" xfId="2" applyNumberFormat="1" applyFont="1" applyFill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left"/>
    </xf>
    <xf numFmtId="166" fontId="5" fillId="0" borderId="7" xfId="1" applyNumberFormat="1" applyFont="1" applyFill="1" applyBorder="1" applyAlignment="1">
      <alignment horizontal="left"/>
    </xf>
    <xf numFmtId="10" fontId="9" fillId="0" borderId="0" xfId="6" applyNumberFormat="1" applyFont="1" applyFill="1" applyBorder="1"/>
    <xf numFmtId="167" fontId="5" fillId="0" borderId="6" xfId="1" applyNumberFormat="1" applyFont="1" applyFill="1" applyBorder="1" applyAlignment="1">
      <alignment vertical="center"/>
    </xf>
    <xf numFmtId="166" fontId="5" fillId="0" borderId="0" xfId="2" applyNumberFormat="1" applyFont="1" applyAlignment="1">
      <alignment vertical="center"/>
    </xf>
    <xf numFmtId="166" fontId="9" fillId="0" borderId="0" xfId="6" applyNumberFormat="1" applyFont="1" applyFill="1" applyBorder="1"/>
  </cellXfs>
  <cellStyles count="11">
    <cellStyle name="Comma" xfId="1" builtinId="3"/>
    <cellStyle name="Comma 2" xfId="6" xr:uid="{00000000-0005-0000-0000-000001000000}"/>
    <cellStyle name="Comma 2 2" xfId="8" xr:uid="{00000000-0005-0000-0000-000002000000}"/>
    <cellStyle name="Comma 3" xfId="4" xr:uid="{00000000-0005-0000-0000-000003000000}"/>
    <cellStyle name="Comma 3 2" xfId="7" xr:uid="{00000000-0005-0000-0000-000004000000}"/>
    <cellStyle name="Comma 4" xfId="10" xr:uid="{2E6A3E38-44F0-494B-8131-9D8EB3B48DA1}"/>
    <cellStyle name="Comma 4 30" xfId="9" xr:uid="{00000000-0005-0000-0000-000005000000}"/>
    <cellStyle name="Hyperlink" xfId="3" builtinId="8"/>
    <cellStyle name="Normal" xfId="0" builtinId="0"/>
    <cellStyle name="Normal 2" xfId="5" xr:uid="{00000000-0005-0000-0000-000008000000}"/>
    <cellStyle name="Percent" xfId="2" builtinId="5"/>
  </cellStyles>
  <dxfs count="0"/>
  <tableStyles count="0" defaultTableStyle="TableStyleMedium2" defaultPivotStyle="PivotStyleLight16"/>
  <colors>
    <mruColors>
      <color rgb="FF293895"/>
      <color rgb="FF1F4E79"/>
      <color rgb="FFD5D6D9"/>
      <color rgb="FFFFC000"/>
      <color rgb="FFEB2131"/>
      <color rgb="FFB4C7E7"/>
      <color rgb="FFFBD3D6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35870862053508E-2"/>
          <c:y val="6.4331746031746032E-2"/>
          <c:w val="0.98638442870688725"/>
          <c:h val="0.88645555555555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Charts'!$A$6:$B$6</c:f>
              <c:strCache>
                <c:ptCount val="2"/>
                <c:pt idx="0">
                  <c:v> AuM </c:v>
                </c:pt>
                <c:pt idx="1">
                  <c:v> -  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Charts'!$C$5:$R$5</c15:sqref>
                  </c15:fullRef>
                </c:ext>
              </c:extLst>
              <c:f>'Data for Charts'!$C$5:$O$5</c:f>
              <c:strCache>
                <c:ptCount val="13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  <c:pt idx="10">
                  <c:v>FY23</c:v>
                </c:pt>
                <c:pt idx="11">
                  <c:v>FY24</c:v>
                </c:pt>
                <c:pt idx="12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Charts'!$C$6:$R$6</c15:sqref>
                  </c15:fullRef>
                </c:ext>
              </c:extLst>
              <c:f>'Data for Charts'!$C$6:$O$6</c:f>
              <c:numCache>
                <c:formatCode>General</c:formatCode>
                <c:ptCount val="13"/>
                <c:pt idx="0">
                  <c:v>1.8</c:v>
                </c:pt>
                <c:pt idx="1">
                  <c:v>4.0999999999999996</c:v>
                </c:pt>
                <c:pt idx="2">
                  <c:v>8.4</c:v>
                </c:pt>
                <c:pt idx="3">
                  <c:v>16.8</c:v>
                </c:pt>
                <c:pt idx="4">
                  <c:v>26.9</c:v>
                </c:pt>
                <c:pt idx="5">
                  <c:v>40.700000000000003</c:v>
                </c:pt>
                <c:pt idx="6">
                  <c:v>59.4</c:v>
                </c:pt>
                <c:pt idx="7">
                  <c:v>78</c:v>
                </c:pt>
                <c:pt idx="8">
                  <c:v>94.5</c:v>
                </c:pt>
                <c:pt idx="9">
                  <c:v>113.5</c:v>
                </c:pt>
                <c:pt idx="10">
                  <c:v>141.69999999999999</c:v>
                </c:pt>
                <c:pt idx="11">
                  <c:v>173.1</c:v>
                </c:pt>
                <c:pt idx="12" formatCode="_(* #,##0.00_);_(* \(#,##0.00\);_(* &quot;-&quot;??_);_(@_)">
                  <c:v>204.20176000000001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3-42BB-B1A2-D2DEF79F0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775665343"/>
        <c:axId val="1775663903"/>
      </c:barChart>
      <c:catAx>
        <c:axId val="1775665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663903"/>
        <c:crosses val="autoZero"/>
        <c:auto val="1"/>
        <c:lblAlgn val="ctr"/>
        <c:lblOffset val="100"/>
        <c:noMultiLvlLbl val="0"/>
      </c:catAx>
      <c:valAx>
        <c:axId val="1775663903"/>
        <c:scaling>
          <c:orientation val="minMax"/>
          <c:max val="225"/>
        </c:scaling>
        <c:delete val="1"/>
        <c:axPos val="l"/>
        <c:numFmt formatCode="General" sourceLinked="1"/>
        <c:majorTickMark val="out"/>
        <c:minorTickMark val="none"/>
        <c:tickLblPos val="nextTo"/>
        <c:crossAx val="1775665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3.9159676510237634E-2"/>
          <c:w val="0.97371007554109634"/>
          <c:h val="0.86929568801859403"/>
        </c:manualLayout>
      </c:layout>
      <c:lineChart>
        <c:grouping val="standard"/>
        <c:varyColors val="0"/>
        <c:ser>
          <c:idx val="0"/>
          <c:order val="0"/>
          <c:tx>
            <c:strRef>
              <c:f>Operational!$T$60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Operational!$U$59:$AA$59</c15:sqref>
                  </c15:fullRef>
                </c:ext>
              </c:extLst>
              <c:f>Operational!$V$59:$AA$59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Operational!$U$60:$AA$60</c15:sqref>
                  </c15:fullRef>
                </c:ext>
              </c:extLst>
              <c:f>Operational!$V$60:$AA$60</c:f>
              <c:numCache>
                <c:formatCode>_(* #,##0.0_);_(* \(#,##0.0\);_(* "-"??_);_(@_)</c:formatCode>
                <c:ptCount val="6"/>
                <c:pt idx="0">
                  <c:v>338.960506721684</c:v>
                </c:pt>
                <c:pt idx="1">
                  <c:v>356.7657744449449</c:v>
                </c:pt>
                <c:pt idx="2">
                  <c:v>382.16201967862287</c:v>
                </c:pt>
                <c:pt idx="3">
                  <c:v>429.29278132198482</c:v>
                </c:pt>
                <c:pt idx="4">
                  <c:v>485.62823678355119</c:v>
                </c:pt>
                <c:pt idx="5">
                  <c:v>534.5595811518325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B2-4269-8FCD-9385093E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173631"/>
        <c:axId val="1325183231"/>
      </c:lineChart>
      <c:catAx>
        <c:axId val="13251736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ax val="600"/>
          <c:min val="30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  <c:majorUnit val="100"/>
      </c:valAx>
      <c:spPr>
        <a:noFill/>
        <a:ln w="28575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0.19512456140350878"/>
          <c:w val="0.97371007554109634"/>
          <c:h val="0.6890649122807018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Operational!$T$63</c:f>
              <c:strCache>
                <c:ptCount val="1"/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Operational!$U$59:$AA$59</c15:sqref>
                  </c15:fullRef>
                </c:ext>
              </c:extLst>
              <c:f>Operational!$V$59:$AA$59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Operational!$U$63:$AA$63</c15:sqref>
                  </c15:fullRef>
                </c:ext>
              </c:extLst>
              <c:f>Operational!$V$63:$AA$63</c:f>
              <c:numCache>
                <c:formatCode>_(* #,##0.0_);_(* \(#,##0.0\);_(* "-"??_);_(@_)</c:formatCode>
                <c:ptCount val="6"/>
                <c:pt idx="0">
                  <c:v>8.6813509109761515</c:v>
                </c:pt>
                <c:pt idx="1">
                  <c:v>6.7262120551187357</c:v>
                </c:pt>
                <c:pt idx="2">
                  <c:v>7.5376341473111523</c:v>
                </c:pt>
                <c:pt idx="3">
                  <c:v>8.9277560526758926</c:v>
                </c:pt>
                <c:pt idx="4">
                  <c:v>9.2199521017425052</c:v>
                </c:pt>
                <c:pt idx="5">
                  <c:v>9.2019927862939586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E6-4196-A6FC-8EC51391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5173631"/>
        <c:axId val="1325183231"/>
      </c:barChart>
      <c:lineChart>
        <c:grouping val="standard"/>
        <c:varyColors val="0"/>
        <c:ser>
          <c:idx val="1"/>
          <c:order val="0"/>
          <c:tx>
            <c:strRef>
              <c:f>Operational!$T$61</c:f>
              <c:strCache>
                <c:ptCount val="1"/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Operational!$U$59:$AA$59</c15:sqref>
                  </c15:fullRef>
                </c:ext>
              </c:extLst>
              <c:f>Operational!$V$59:$AA$59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Operational!$U$61:$AA$61</c15:sqref>
                  </c15:fullRef>
                </c:ext>
              </c:extLst>
              <c:f>Operational!$V$61:$AA$61</c:f>
              <c:numCache>
                <c:formatCode>_(* #,##0.0_);_(* \(#,##0.0\);_(* "-"??_);_(@_)</c:formatCode>
                <c:ptCount val="6"/>
                <c:pt idx="0">
                  <c:v>23.096109182635853</c:v>
                </c:pt>
                <c:pt idx="1">
                  <c:v>23.934919045040608</c:v>
                </c:pt>
                <c:pt idx="2">
                  <c:v>23.750182013925716</c:v>
                </c:pt>
                <c:pt idx="3">
                  <c:v>25.171751570052415</c:v>
                </c:pt>
                <c:pt idx="4">
                  <c:v>28.594676094365511</c:v>
                </c:pt>
                <c:pt idx="5">
                  <c:v>30.688572287345959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B7-43CE-8818-A8096AB8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294831"/>
        <c:axId val="706298671"/>
      </c:lineChart>
      <c:catAx>
        <c:axId val="132517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ax val="17"/>
          <c:min val="3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</c:valAx>
      <c:valAx>
        <c:axId val="706298671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" b="0" i="0" u="none" strike="noStrike" kern="1200" baseline="0">
                <a:solidFill>
                  <a:schemeClr val="bg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706294831"/>
        <c:crosses val="max"/>
        <c:crossBetween val="between"/>
      </c:valAx>
      <c:catAx>
        <c:axId val="7062948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298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'Data for Charts'!$A$58</c:f>
              <c:strCache>
                <c:ptCount val="1"/>
                <c:pt idx="0">
                  <c:v> Spread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Charts'!$B$58:$H$58</c:f>
              <c:numCache>
                <c:formatCode>0.0%</c:formatCode>
                <c:ptCount val="7"/>
                <c:pt idx="0">
                  <c:v>5.0100000000000006E-2</c:v>
                </c:pt>
                <c:pt idx="1">
                  <c:v>5.1900000000000002E-2</c:v>
                </c:pt>
                <c:pt idx="2">
                  <c:v>5.7599999999999998E-2</c:v>
                </c:pt>
                <c:pt idx="3">
                  <c:v>5.7700000000000001E-2</c:v>
                </c:pt>
                <c:pt idx="4">
                  <c:v>5.510000000000001E-2</c:v>
                </c:pt>
                <c:pt idx="5">
                  <c:v>5.0600000000000006E-2</c:v>
                </c:pt>
                <c:pt idx="6">
                  <c:v>4.8899999999999999E-2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A-4804-AC3A-D77AB01C7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98720671"/>
        <c:axId val="1290550943"/>
      </c:barChart>
      <c:lineChart>
        <c:grouping val="standard"/>
        <c:varyColors val="0"/>
        <c:ser>
          <c:idx val="0"/>
          <c:order val="0"/>
          <c:tx>
            <c:strRef>
              <c:f>'Data for Charts'!$A$56</c:f>
              <c:strCache>
                <c:ptCount val="1"/>
                <c:pt idx="0">
                  <c:v> Yield 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Charts'!$B$56:$H$56</c:f>
              <c:numCache>
                <c:formatCode>0.0%</c:formatCode>
                <c:ptCount val="7"/>
                <c:pt idx="0">
                  <c:v>0.13750000000000001</c:v>
                </c:pt>
                <c:pt idx="1">
                  <c:v>0.1363</c:v>
                </c:pt>
                <c:pt idx="2">
                  <c:v>0.13159999999999999</c:v>
                </c:pt>
                <c:pt idx="3">
                  <c:v>0.1265</c:v>
                </c:pt>
                <c:pt idx="4">
                  <c:v>0.13120000000000001</c:v>
                </c:pt>
                <c:pt idx="5">
                  <c:v>0.1313</c:v>
                </c:pt>
                <c:pt idx="6">
                  <c:v>0.1313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4A-4804-AC3A-D77AB01C7886}"/>
            </c:ext>
          </c:extLst>
        </c:ser>
        <c:ser>
          <c:idx val="1"/>
          <c:order val="1"/>
          <c:tx>
            <c:strRef>
              <c:f>'Data for Charts'!$A$57</c:f>
              <c:strCache>
                <c:ptCount val="1"/>
                <c:pt idx="0">
                  <c:v> CoB 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38100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Charts'!$B$55:$H$55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Charts'!$B$57:$H$57</c:f>
              <c:numCache>
                <c:formatCode>0.0%</c:formatCode>
                <c:ptCount val="7"/>
                <c:pt idx="0">
                  <c:v>8.7400000000000005E-2</c:v>
                </c:pt>
                <c:pt idx="1">
                  <c:v>8.4400000000000003E-2</c:v>
                </c:pt>
                <c:pt idx="2">
                  <c:v>7.3999999999999996E-2</c:v>
                </c:pt>
                <c:pt idx="3">
                  <c:v>6.88E-2</c:v>
                </c:pt>
                <c:pt idx="4">
                  <c:v>7.6100000000000001E-2</c:v>
                </c:pt>
                <c:pt idx="5">
                  <c:v>8.0699999999999994E-2</c:v>
                </c:pt>
                <c:pt idx="6">
                  <c:v>8.2400000000000001E-2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4A-4804-AC3A-D77AB01C7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8720671"/>
        <c:axId val="1290550943"/>
      </c:lineChart>
      <c:catAx>
        <c:axId val="1298720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90550943"/>
        <c:crosses val="autoZero"/>
        <c:auto val="1"/>
        <c:lblAlgn val="ctr"/>
        <c:lblOffset val="100"/>
        <c:noMultiLvlLbl val="0"/>
      </c:catAx>
      <c:valAx>
        <c:axId val="129055094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29872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50427350427349E-2"/>
          <c:y val="5.5436507936507937E-2"/>
          <c:w val="0.94029914529914527"/>
          <c:h val="0.701296428571428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Charts'!$A$61</c:f>
              <c:strCache>
                <c:ptCount val="1"/>
                <c:pt idx="0">
                  <c:v> Operating Expenses to Average Total Assets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Charts'!$B$60:$H$60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Charts'!$B$61:$H$61</c:f>
              <c:numCache>
                <c:formatCode>0.0%</c:formatCode>
                <c:ptCount val="7"/>
                <c:pt idx="0">
                  <c:v>3.8087267389458938E-2</c:v>
                </c:pt>
                <c:pt idx="1">
                  <c:v>3.3833621538776767E-2</c:v>
                </c:pt>
                <c:pt idx="2">
                  <c:v>3.0140627281872986E-2</c:v>
                </c:pt>
                <c:pt idx="3">
                  <c:v>3.4521773850903749E-2</c:v>
                </c:pt>
                <c:pt idx="4">
                  <c:v>3.6884522891153015E-2</c:v>
                </c:pt>
                <c:pt idx="5">
                  <c:v>3.5780192601668419E-2</c:v>
                </c:pt>
                <c:pt idx="6">
                  <c:v>3.3178326125141017E-2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4-4ED1-8F2A-2073FFD5B99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6671023"/>
        <c:axId val="1236669103"/>
      </c:lineChart>
      <c:catAx>
        <c:axId val="123667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236669103"/>
        <c:crosses val="autoZero"/>
        <c:auto val="1"/>
        <c:lblAlgn val="ctr"/>
        <c:lblOffset val="100"/>
        <c:noMultiLvlLbl val="0"/>
      </c:catAx>
      <c:valAx>
        <c:axId val="1236669103"/>
        <c:scaling>
          <c:orientation val="minMax"/>
          <c:max val="5.000000000000001E-2"/>
          <c:min val="1.5000000000000003E-2"/>
        </c:scaling>
        <c:delete val="1"/>
        <c:axPos val="l"/>
        <c:numFmt formatCode="0.0%" sourceLinked="1"/>
        <c:majorTickMark val="none"/>
        <c:minorTickMark val="none"/>
        <c:tickLblPos val="nextTo"/>
        <c:crossAx val="1236671023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694230769230773E-2"/>
          <c:y val="0.89666944444444441"/>
          <c:w val="0.82861153846153845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000000000000001E-2"/>
          <c:y val="5.0925925925925923E-2"/>
          <c:w val="0.93888888888888888"/>
          <c:h val="0.71561269841269837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Charts'!$A$62</c:f>
              <c:strCache>
                <c:ptCount val="1"/>
                <c:pt idx="0">
                  <c:v> Operating expenses / AUM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Charts'!$B$60:$H$60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Charts'!$B$62:$H$62</c:f>
              <c:numCache>
                <c:formatCode>0.0%</c:formatCode>
                <c:ptCount val="7"/>
                <c:pt idx="0">
                  <c:v>3.6764908172388214E-2</c:v>
                </c:pt>
                <c:pt idx="1">
                  <c:v>3.2718363899950351E-2</c:v>
                </c:pt>
                <c:pt idx="2">
                  <c:v>2.9035846644608607E-2</c:v>
                </c:pt>
                <c:pt idx="3">
                  <c:v>3.3154352130747758E-2</c:v>
                </c:pt>
                <c:pt idx="4">
                  <c:v>3.5314773245566103E-2</c:v>
                </c:pt>
                <c:pt idx="5">
                  <c:v>3.3977966507008295E-2</c:v>
                </c:pt>
                <c:pt idx="6">
                  <c:v>3.0896645007626511E-2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42-42A8-82A9-B3303E12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595519"/>
        <c:axId val="1009594079"/>
      </c:lineChart>
      <c:catAx>
        <c:axId val="100959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09594079"/>
        <c:crosses val="autoZero"/>
        <c:auto val="1"/>
        <c:lblAlgn val="ctr"/>
        <c:lblOffset val="100"/>
        <c:noMultiLvlLbl val="0"/>
      </c:catAx>
      <c:valAx>
        <c:axId val="1009594079"/>
        <c:scaling>
          <c:orientation val="minMax"/>
          <c:max val="5.000000000000001E-2"/>
          <c:min val="1.5000000000000003E-2"/>
        </c:scaling>
        <c:delete val="1"/>
        <c:axPos val="l"/>
        <c:numFmt formatCode="0.0%" sourceLinked="1"/>
        <c:majorTickMark val="none"/>
        <c:minorTickMark val="none"/>
        <c:tickLblPos val="nextTo"/>
        <c:crossAx val="100959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24658119658126"/>
          <c:y val="0.89666944444444441"/>
          <c:w val="0.53950662393162396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866222222222223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Charts'!$A$66</c:f>
              <c:strCache>
                <c:ptCount val="1"/>
                <c:pt idx="0">
                  <c:v> RoA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Charts'!$B$65:$H$65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Charts'!$B$66:$H$66</c:f>
              <c:numCache>
                <c:formatCode>0.0%</c:formatCode>
                <c:ptCount val="7"/>
                <c:pt idx="0">
                  <c:v>3.6394700938653768E-2</c:v>
                </c:pt>
                <c:pt idx="1">
                  <c:v>3.7504300617694421E-2</c:v>
                </c:pt>
                <c:pt idx="2">
                  <c:v>3.484097845825309E-2</c:v>
                </c:pt>
                <c:pt idx="3">
                  <c:v>3.5714853270755943E-2</c:v>
                </c:pt>
                <c:pt idx="4">
                  <c:v>3.5207194924761737E-2</c:v>
                </c:pt>
                <c:pt idx="5">
                  <c:v>3.2789472494081401E-2</c:v>
                </c:pt>
                <c:pt idx="6">
                  <c:v>3.2677408981324985E-2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A1-4641-B029-15A62B5F9A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6281967"/>
        <c:axId val="1286283887"/>
      </c:lineChart>
      <c:catAx>
        <c:axId val="12862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283887"/>
        <c:crosses val="autoZero"/>
        <c:auto val="1"/>
        <c:lblAlgn val="ctr"/>
        <c:lblOffset val="100"/>
        <c:noMultiLvlLbl val="0"/>
      </c:catAx>
      <c:valAx>
        <c:axId val="1286283887"/>
        <c:scaling>
          <c:orientation val="minMax"/>
          <c:max val="5.000000000000001E-2"/>
          <c:min val="2.0000000000000004E-2"/>
        </c:scaling>
        <c:delete val="1"/>
        <c:axPos val="l"/>
        <c:numFmt formatCode="0.0%" sourceLinked="1"/>
        <c:majorTickMark val="none"/>
        <c:minorTickMark val="none"/>
        <c:tickLblPos val="nextTo"/>
        <c:crossAx val="128628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7037037037037035E-2"/>
          <c:w val="0.93888888888888888"/>
          <c:h val="0.69166190476190481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Charts'!$A$67</c:f>
              <c:strCache>
                <c:ptCount val="1"/>
                <c:pt idx="0">
                  <c:v> RoE </c:v>
                </c:pt>
              </c:strCache>
            </c:strRef>
          </c:tx>
          <c:spPr>
            <a:ln w="38100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38100">
                <a:solidFill>
                  <a:srgbClr val="29389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Charts'!$B$65:$H$65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Charts'!$B$67:$H$67</c:f>
              <c:numCache>
                <c:formatCode>0.0%</c:formatCode>
                <c:ptCount val="7"/>
                <c:pt idx="0">
                  <c:v>0.1163849583843159</c:v>
                </c:pt>
                <c:pt idx="1">
                  <c:v>0.1265943697599336</c:v>
                </c:pt>
                <c:pt idx="2">
                  <c:v>0.12905417134585609</c:v>
                </c:pt>
                <c:pt idx="3">
                  <c:v>0.1372378740998757</c:v>
                </c:pt>
                <c:pt idx="4">
                  <c:v>0.14092045121152208</c:v>
                </c:pt>
                <c:pt idx="5">
                  <c:v>0.139381951146063</c:v>
                </c:pt>
                <c:pt idx="6">
                  <c:v>0.14116002238877415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0-433B-96EB-896C7F7D7DB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6281967"/>
        <c:axId val="1286283887"/>
      </c:lineChart>
      <c:catAx>
        <c:axId val="128628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6283887"/>
        <c:crosses val="autoZero"/>
        <c:auto val="1"/>
        <c:lblAlgn val="ctr"/>
        <c:lblOffset val="100"/>
        <c:noMultiLvlLbl val="0"/>
      </c:catAx>
      <c:valAx>
        <c:axId val="1286283887"/>
        <c:scaling>
          <c:orientation val="minMax"/>
          <c:max val="0.16000000000000003"/>
          <c:min val="0.1"/>
        </c:scaling>
        <c:delete val="1"/>
        <c:axPos val="l"/>
        <c:numFmt formatCode="0.0%" sourceLinked="1"/>
        <c:majorTickMark val="out"/>
        <c:minorTickMark val="none"/>
        <c:tickLblPos val="nextTo"/>
        <c:crossAx val="1286281967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739720034995626E-2"/>
          <c:y val="3.0092592592592591E-2"/>
          <c:w val="0.58611111111111114"/>
          <c:h val="0.969907407407407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9389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F1-44C2-8B78-C7A5AAC0312C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F1-44C2-8B78-C7A5AAC031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F1-44C2-8B78-C7A5AAC0312C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AF1-44C2-8B78-C7A5AAC0312C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AF1-44C2-8B78-C7A5AAC031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Charts'!$A$71:$A$74</c:f>
              <c:strCache>
                <c:ptCount val="4"/>
                <c:pt idx="0">
                  <c:v> Term Loans </c:v>
                </c:pt>
                <c:pt idx="1">
                  <c:v> Assignment </c:v>
                </c:pt>
                <c:pt idx="2">
                  <c:v> NHB refinancing </c:v>
                </c:pt>
                <c:pt idx="3">
                  <c:v> NCDs </c:v>
                </c:pt>
              </c:strCache>
            </c:strRef>
          </c:cat>
          <c:val>
            <c:numRef>
              <c:f>'Data for Charts'!$B$71:$B$74</c:f>
              <c:numCache>
                <c:formatCode>0.0%</c:formatCode>
                <c:ptCount val="4"/>
                <c:pt idx="0">
                  <c:v>0.50942369621294203</c:v>
                </c:pt>
                <c:pt idx="1">
                  <c:v>0.25204706401527383</c:v>
                </c:pt>
                <c:pt idx="2">
                  <c:v>0.143577118127246</c:v>
                </c:pt>
                <c:pt idx="3">
                  <c:v>9.4952121644538132E-2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F1-44C2-8B78-C7A5AAC03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397010582010584"/>
          <c:y val="0.14078083989501311"/>
          <c:w val="0.3293632275132275"/>
          <c:h val="0.77399387576552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7"/>
          <c:order val="7"/>
          <c:tx>
            <c:strRef>
              <c:f>Liabilities!$B$11</c:f>
              <c:strCache>
                <c:ptCount val="1"/>
                <c:pt idx="0">
                  <c:v> Tenure of Borrowings (months) (for the period)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Liabilities!$C$3:$AA$3</c15:sqref>
                  </c15:fullRef>
                </c:ext>
              </c:extLst>
              <c:f>Liabilities!$U$3:$AA$3</c:f>
              <c:strCache>
                <c:ptCount val="7"/>
                <c:pt idx="0">
                  <c:v> FY19 </c:v>
                </c:pt>
                <c:pt idx="1">
                  <c:v> FY20 </c:v>
                </c:pt>
                <c:pt idx="2">
                  <c:v> FY21 </c:v>
                </c:pt>
                <c:pt idx="3">
                  <c:v> FY22 </c:v>
                </c:pt>
                <c:pt idx="4">
                  <c:v> FY23 </c:v>
                </c:pt>
                <c:pt idx="5">
                  <c:v> FY24 </c:v>
                </c:pt>
                <c:pt idx="6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Liabilities!$C$11:$AA$11</c15:sqref>
                  </c15:fullRef>
                </c:ext>
              </c:extLst>
              <c:f>Liabilities!$U$11:$AA$11</c:f>
              <c:numCache>
                <c:formatCode>_(* #,##0_);_(* \(#,##0\);_(* "-"??_);_(@_)</c:formatCode>
                <c:ptCount val="7"/>
                <c:pt idx="0" formatCode="#,##0">
                  <c:v>143</c:v>
                </c:pt>
                <c:pt idx="1" formatCode="#,##0">
                  <c:v>134</c:v>
                </c:pt>
                <c:pt idx="2" formatCode="#,##0">
                  <c:v>130</c:v>
                </c:pt>
                <c:pt idx="3" formatCode="#,##0">
                  <c:v>125.9</c:v>
                </c:pt>
                <c:pt idx="4" formatCode="#,##0">
                  <c:v>128</c:v>
                </c:pt>
                <c:pt idx="5" formatCode="#,##0">
                  <c:v>132.17824873051885</c:v>
                </c:pt>
                <c:pt idx="6" formatCode="#,##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D0-41FE-991A-3F4D5E87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9383439"/>
        <c:axId val="48939351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Liabilities!$B$4</c15:sqref>
                        </c15:formulaRef>
                      </c:ext>
                    </c:extLst>
                    <c:strCache>
                      <c:ptCount val="1"/>
                      <c:pt idx="0">
                        <c:v> Funding Profile (as at period end) </c:v>
                      </c:pt>
                    </c:strCache>
                  </c:strRef>
                </c:tx>
                <c:spPr>
                  <a:solidFill>
                    <a:srgbClr val="29389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/>
                          </a:solidFill>
                          <a:latin typeface="Aptos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Liabilities!$C$4:$AA$4</c15:sqref>
                        </c15:fullRef>
                        <c15:formulaRef>
                          <c15:sqref>Liabilities!$U$4:$AA$4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A5D-4BE5-8F1F-34FDC556EE2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Liabilities!$B$5</c15:sqref>
                        </c15:formulaRef>
                      </c:ext>
                    </c:extLst>
                    <c:strCache>
                      <c:ptCount val="1"/>
                      <c:pt idx="0">
                        <c:v> Term Loans 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Liabilities!$C$5:$AA$5</c15:sqref>
                        </c15:fullRef>
                        <c15:formulaRef>
                          <c15:sqref>Liabilities!$U$5:$AA$5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20417.2</c:v>
                      </c:pt>
                      <c:pt idx="1">
                        <c:v>29673</c:v>
                      </c:pt>
                      <c:pt idx="2">
                        <c:v>28218.9</c:v>
                      </c:pt>
                      <c:pt idx="3">
                        <c:v>38875.300000000003</c:v>
                      </c:pt>
                      <c:pt idx="4">
                        <c:v>56305.200000000004</c:v>
                      </c:pt>
                      <c:pt idx="5">
                        <c:v>73889.600000000006</c:v>
                      </c:pt>
                      <c:pt idx="6">
                        <c:v>91426.5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D0-41FE-991A-3F4D5E873C0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Liabilities!$B$6</c15:sqref>
                        </c15:formulaRef>
                      </c:ext>
                    </c:extLst>
                    <c:strCache>
                      <c:ptCount val="1"/>
                      <c:pt idx="0">
                        <c:v> Assignment  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Liabilities!$C$6:$AA$6</c15:sqref>
                        </c15:fullRef>
                        <c15:formulaRef>
                          <c15:sqref>Liabilities!$U$6:$AA$6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13546.399999999998</c:v>
                      </c:pt>
                      <c:pt idx="1">
                        <c:v>17304.5</c:v>
                      </c:pt>
                      <c:pt idx="2">
                        <c:v>20052.900000000001</c:v>
                      </c:pt>
                      <c:pt idx="3">
                        <c:v>23472.400000000001</c:v>
                      </c:pt>
                      <c:pt idx="4">
                        <c:v>27566.399999999998</c:v>
                      </c:pt>
                      <c:pt idx="5">
                        <c:v>37170</c:v>
                      </c:pt>
                      <c:pt idx="6">
                        <c:v>45235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AD0-41FE-991A-3F4D5E873C0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Liabilities!$B$7</c15:sqref>
                        </c15:formulaRef>
                      </c:ext>
                    </c:extLst>
                    <c:strCache>
                      <c:ptCount val="1"/>
                      <c:pt idx="0">
                        <c:v> NHB refinancing 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Liabilities!$C$7:$AA$7</c15:sqref>
                        </c15:fullRef>
                        <c15:formulaRef>
                          <c15:sqref>Liabilities!$U$7:$AA$7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8972.2000000000007</c:v>
                      </c:pt>
                      <c:pt idx="1">
                        <c:v>9512.9</c:v>
                      </c:pt>
                      <c:pt idx="2">
                        <c:v>18723.900000000001</c:v>
                      </c:pt>
                      <c:pt idx="3">
                        <c:v>22067.5</c:v>
                      </c:pt>
                      <c:pt idx="4">
                        <c:v>26028.699999999997</c:v>
                      </c:pt>
                      <c:pt idx="5">
                        <c:v>30415.8</c:v>
                      </c:pt>
                      <c:pt idx="6">
                        <c:v>25767.85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AD0-41FE-991A-3F4D5E873C0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Liabilities!$B$8</c15:sqref>
                        </c15:formulaRef>
                      </c:ext>
                    </c:extLst>
                    <c:strCache>
                      <c:ptCount val="1"/>
                      <c:pt idx="0">
                        <c:v> NCDs (Incl Tier 2)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Liabilities!$C$8:$AA$8</c15:sqref>
                        </c15:fullRef>
                        <c15:formulaRef>
                          <c15:sqref>Liabilities!$U$8:$AA$8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5400</c:v>
                      </c:pt>
                      <c:pt idx="1">
                        <c:v>12794</c:v>
                      </c:pt>
                      <c:pt idx="2">
                        <c:v>15744</c:v>
                      </c:pt>
                      <c:pt idx="3">
                        <c:v>18192.2</c:v>
                      </c:pt>
                      <c:pt idx="4">
                        <c:v>15308.5</c:v>
                      </c:pt>
                      <c:pt idx="5">
                        <c:v>14074.8</c:v>
                      </c:pt>
                      <c:pt idx="6">
                        <c:v>17041.099999999999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AD0-41FE-991A-3F4D5E873C0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Liabilities!$B$9</c15:sqref>
                        </c15:formulaRef>
                      </c:ext>
                    </c:extLst>
                    <c:strCache>
                      <c:ptCount val="1"/>
                      <c:pt idx="0">
                        <c:v> Cash Credit 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Liabilities!$C$9:$AA$9</c15:sqref>
                        </c15:fullRef>
                        <c15:formulaRef>
                          <c15:sqref>Liabilities!$U$9:$AA$9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0</c:v>
                      </c:pt>
                      <c:pt idx="1">
                        <c:v>245.7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AD0-41FE-991A-3F4D5E873C0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Liabilities!$B$10</c15:sqref>
                        </c15:formulaRef>
                      </c:ext>
                    </c:extLst>
                    <c:strCache>
                      <c:ptCount val="1"/>
                      <c:pt idx="0">
                        <c:v> Total Borrowings (Closing) 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Liabilities!$C$3:$AA$3</c15:sqref>
                        </c15:fullRef>
                        <c15:formulaRef>
                          <c15:sqref>Liabilities!$U$3:$AA$3</c15:sqref>
                        </c15:formulaRef>
                      </c:ext>
                    </c:extLst>
                    <c:strCache>
                      <c:ptCount val="7"/>
                      <c:pt idx="0">
                        <c:v> FY19 </c:v>
                      </c:pt>
                      <c:pt idx="1">
                        <c:v> FY20 </c:v>
                      </c:pt>
                      <c:pt idx="2">
                        <c:v> FY21 </c:v>
                      </c:pt>
                      <c:pt idx="3">
                        <c:v> FY22 </c:v>
                      </c:pt>
                      <c:pt idx="4">
                        <c:v> FY23 </c:v>
                      </c:pt>
                      <c:pt idx="5">
                        <c:v> FY24 </c:v>
                      </c:pt>
                      <c:pt idx="6">
                        <c:v> FY25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Liabilities!$C$10:$AA$10</c15:sqref>
                        </c15:fullRef>
                        <c15:formulaRef>
                          <c15:sqref>Liabilities!$U$10:$AA$10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48335.8</c:v>
                      </c:pt>
                      <c:pt idx="1">
                        <c:v>69530.099999999991</c:v>
                      </c:pt>
                      <c:pt idx="2">
                        <c:v>82739.700000000012</c:v>
                      </c:pt>
                      <c:pt idx="3">
                        <c:v>102607.40000000001</c:v>
                      </c:pt>
                      <c:pt idx="4">
                        <c:v>125208.8</c:v>
                      </c:pt>
                      <c:pt idx="5">
                        <c:v>155550.19999999998</c:v>
                      </c:pt>
                      <c:pt idx="6">
                        <c:v>179470.45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D0-41FE-991A-3F4D5E873C03}"/>
                  </c:ext>
                </c:extLst>
              </c15:ser>
            </c15:filteredBarSeries>
          </c:ext>
        </c:extLst>
      </c:barChart>
      <c:catAx>
        <c:axId val="48938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489393519"/>
        <c:crosses val="autoZero"/>
        <c:auto val="1"/>
        <c:lblAlgn val="ctr"/>
        <c:lblOffset val="100"/>
        <c:noMultiLvlLbl val="0"/>
      </c:catAx>
      <c:valAx>
        <c:axId val="489393519"/>
        <c:scaling>
          <c:orientation val="minMax"/>
          <c:min val="0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489383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14529914529914"/>
          <c:y val="0.13305555555555557"/>
          <c:w val="0.55638888888888893"/>
          <c:h val="0.723305555555555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9389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5-4E19-9B8F-C904095D6656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5-4E19-9B8F-C904095D6656}"/>
              </c:ext>
            </c:extLst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5-4E19-9B8F-C904095D6656}"/>
              </c:ext>
            </c:extLst>
          </c:dPt>
          <c:dPt>
            <c:idx val="3"/>
            <c:bubble3D val="0"/>
            <c:spPr>
              <a:solidFill>
                <a:srgbClr val="FBD3D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5-4E19-9B8F-C904095D6656}"/>
              </c:ext>
            </c:extLst>
          </c:dPt>
          <c:dPt>
            <c:idx val="4"/>
            <c:bubble3D val="0"/>
            <c:spPr>
              <a:solidFill>
                <a:srgbClr val="B4C7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5-4E19-9B8F-C904095D6656}"/>
              </c:ext>
            </c:extLst>
          </c:dPt>
          <c:dPt>
            <c:idx val="5"/>
            <c:bubble3D val="0"/>
            <c:spPr>
              <a:solidFill>
                <a:srgbClr val="EB21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365-4E19-9B8F-C904095D6656}"/>
              </c:ext>
            </c:extLst>
          </c:dPt>
          <c:dPt>
            <c:idx val="6"/>
            <c:bubble3D val="0"/>
            <c:spPr>
              <a:solidFill>
                <a:srgbClr val="1F4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365-4E19-9B8F-C904095D6656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365-4E19-9B8F-C904095D6656}"/>
              </c:ext>
            </c:extLst>
          </c:dPt>
          <c:dPt>
            <c:idx val="8"/>
            <c:bubble3D val="0"/>
            <c:spPr>
              <a:solidFill>
                <a:srgbClr val="D5D6D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365-4E19-9B8F-C904095D6656}"/>
              </c:ext>
            </c:extLst>
          </c:dPt>
          <c:dLbls>
            <c:dLbl>
              <c:idx val="0"/>
              <c:layout>
                <c:manualLayout>
                  <c:x val="0.13519722222222214"/>
                  <c:y val="-0.103833333333333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5-4E19-9B8F-C904095D6656}"/>
                </c:ext>
              </c:extLst>
            </c:dLbl>
            <c:dLbl>
              <c:idx val="1"/>
              <c:layout>
                <c:manualLayout>
                  <c:x val="0.15285756203230355"/>
                  <c:y val="0.1089074999999999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97797989402002"/>
                      <c:h val="0.165629166666666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365-4E19-9B8F-C904095D6656}"/>
                </c:ext>
              </c:extLst>
            </c:dLbl>
            <c:dLbl>
              <c:idx val="2"/>
              <c:layout>
                <c:manualLayout>
                  <c:x val="-8.0813702657528824E-2"/>
                  <c:y val="0.12972938541695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65-4E19-9B8F-C904095D6656}"/>
                </c:ext>
              </c:extLst>
            </c:dLbl>
            <c:dLbl>
              <c:idx val="3"/>
              <c:layout>
                <c:manualLayout>
                  <c:x val="-0.1661378205128205"/>
                  <c:y val="0.119046250000000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209700854700856"/>
                      <c:h val="0.11477166666666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365-4E19-9B8F-C904095D6656}"/>
                </c:ext>
              </c:extLst>
            </c:dLbl>
            <c:dLbl>
              <c:idx val="4"/>
              <c:layout>
                <c:manualLayout>
                  <c:x val="-0.13425239225152499"/>
                  <c:y val="-1.024027777777784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65-4E19-9B8F-C904095D6656}"/>
                </c:ext>
              </c:extLst>
            </c:dLbl>
            <c:dLbl>
              <c:idx val="5"/>
              <c:layout>
                <c:manualLayout>
                  <c:x val="-0.22363384184121757"/>
                  <c:y val="-5.5478333333333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771084656084658"/>
                      <c:h val="7.8000555555555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365-4E19-9B8F-C904095D6656}"/>
                </c:ext>
              </c:extLst>
            </c:dLbl>
            <c:dLbl>
              <c:idx val="6"/>
              <c:layout>
                <c:manualLayout>
                  <c:x val="-0.14901217948717951"/>
                  <c:y val="-7.8833611111111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39807692307693"/>
                      <c:h val="6.10305555555555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365-4E19-9B8F-C904095D6656}"/>
                </c:ext>
              </c:extLst>
            </c:dLbl>
            <c:dLbl>
              <c:idx val="7"/>
              <c:layout>
                <c:manualLayout>
                  <c:x val="-7.4056303418803412E-2"/>
                  <c:y val="-0.161839027777777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17884615384608"/>
                      <c:h val="6.45583333333333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0365-4E19-9B8F-C904095D6656}"/>
                </c:ext>
              </c:extLst>
            </c:dLbl>
            <c:dLbl>
              <c:idx val="8"/>
              <c:layout>
                <c:manualLayout>
                  <c:x val="0.17745497780453004"/>
                  <c:y val="-0.145693417427418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Aptos Display" panose="020B0004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63495560906003"/>
                      <c:h val="0.11394733181183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0365-4E19-9B8F-C904095D66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'Data for Charts'!$A$45:$A$53</c:f>
              <c:strCache>
                <c:ptCount val="9"/>
                <c:pt idx="0">
                  <c:v> Rajasthan </c:v>
                </c:pt>
                <c:pt idx="1">
                  <c:v> Maharashtra </c:v>
                </c:pt>
                <c:pt idx="2">
                  <c:v> Gujarat </c:v>
                </c:pt>
                <c:pt idx="3">
                  <c:v> Madhya Pradesh </c:v>
                </c:pt>
                <c:pt idx="4">
                  <c:v> Delhi </c:v>
                </c:pt>
                <c:pt idx="5">
                  <c:v> Uttar Pradesh </c:v>
                </c:pt>
                <c:pt idx="6">
                  <c:v> Haryana </c:v>
                </c:pt>
                <c:pt idx="7">
                  <c:v> Karnataka </c:v>
                </c:pt>
                <c:pt idx="8">
                  <c:v> Others </c:v>
                </c:pt>
              </c:strCache>
            </c:strRef>
          </c:cat>
          <c:val>
            <c:numRef>
              <c:f>'Data for Charts'!$B$45:$B$53</c:f>
              <c:numCache>
                <c:formatCode>0.0%</c:formatCode>
                <c:ptCount val="9"/>
                <c:pt idx="0">
                  <c:v>0.33097406585054601</c:v>
                </c:pt>
                <c:pt idx="1">
                  <c:v>0.19956288338300601</c:v>
                </c:pt>
                <c:pt idx="2">
                  <c:v>0.122662483876244</c:v>
                </c:pt>
                <c:pt idx="3">
                  <c:v>0.122197747522304</c:v>
                </c:pt>
                <c:pt idx="4">
                  <c:v>5.5035264135771603E-2</c:v>
                </c:pt>
                <c:pt idx="5">
                  <c:v>5.4830074955264797E-2</c:v>
                </c:pt>
                <c:pt idx="6">
                  <c:v>4.4980504579293597E-2</c:v>
                </c:pt>
                <c:pt idx="7">
                  <c:v>3.2749956170807497E-2</c:v>
                </c:pt>
                <c:pt idx="8">
                  <c:v>3.7007019526762441E-2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365-4E19-9B8F-C904095D66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'Data for Charts'!$A$9</c:f>
              <c:strCache>
                <c:ptCount val="1"/>
                <c:pt idx="0">
                  <c:v> HL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Charts'!$B$8:$N$8</c:f>
              <c:strCache>
                <c:ptCount val="13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  <c:pt idx="12">
                  <c:v>Q1FY26</c:v>
                </c:pt>
              </c:strCache>
            </c:strRef>
          </c:cat>
          <c:val>
            <c:numRef>
              <c:f>'Data for Charts'!$B$9:$N$9</c:f>
              <c:numCache>
                <c:formatCode>0.0%</c:formatCode>
                <c:ptCount val="13"/>
                <c:pt idx="0">
                  <c:v>0.71099999999999997</c:v>
                </c:pt>
                <c:pt idx="1">
                  <c:v>0.70879999999999999</c:v>
                </c:pt>
                <c:pt idx="2">
                  <c:v>0.70109999999999995</c:v>
                </c:pt>
                <c:pt idx="3">
                  <c:v>0.69910000000000005</c:v>
                </c:pt>
                <c:pt idx="4">
                  <c:v>0.69799999999999995</c:v>
                </c:pt>
                <c:pt idx="5">
                  <c:v>0.69699999999999995</c:v>
                </c:pt>
                <c:pt idx="6">
                  <c:v>0.69299999999999995</c:v>
                </c:pt>
                <c:pt idx="7">
                  <c:v>0.69299999999999995</c:v>
                </c:pt>
                <c:pt idx="8">
                  <c:v>0.69199999999999995</c:v>
                </c:pt>
                <c:pt idx="9">
                  <c:v>0.69</c:v>
                </c:pt>
                <c:pt idx="10">
                  <c:v>0.68608960168096667</c:v>
                </c:pt>
                <c:pt idx="11">
                  <c:v>0.67970122685040646</c:v>
                </c:pt>
                <c:pt idx="12">
                  <c:v>0.67459992188893758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A-4D90-9ACA-D54D33340CEC}"/>
            </c:ext>
          </c:extLst>
        </c:ser>
        <c:ser>
          <c:idx val="1"/>
          <c:order val="1"/>
          <c:tx>
            <c:strRef>
              <c:f>'Data for Charts'!$A$10</c:f>
              <c:strCache>
                <c:ptCount val="1"/>
                <c:pt idx="0">
                  <c:v> MSME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Charts'!$B$8:$N$8</c:f>
              <c:strCache>
                <c:ptCount val="13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  <c:pt idx="12">
                  <c:v>Q1FY26</c:v>
                </c:pt>
              </c:strCache>
            </c:strRef>
          </c:cat>
          <c:val>
            <c:numRef>
              <c:f>'Data for Charts'!$B$10:$N$10</c:f>
              <c:numCache>
                <c:formatCode>0.0%</c:formatCode>
                <c:ptCount val="13"/>
                <c:pt idx="0">
                  <c:v>7.6100000000000001E-2</c:v>
                </c:pt>
                <c:pt idx="1">
                  <c:v>9.4299999999999995E-2</c:v>
                </c:pt>
                <c:pt idx="2">
                  <c:v>0.1</c:v>
                </c:pt>
                <c:pt idx="3">
                  <c:v>0.1041</c:v>
                </c:pt>
                <c:pt idx="4">
                  <c:v>0.104</c:v>
                </c:pt>
                <c:pt idx="5">
                  <c:v>0.12</c:v>
                </c:pt>
                <c:pt idx="6">
                  <c:v>0.13200000000000001</c:v>
                </c:pt>
                <c:pt idx="7">
                  <c:v>0.17</c:v>
                </c:pt>
                <c:pt idx="8">
                  <c:v>0.17299999999999999</c:v>
                </c:pt>
                <c:pt idx="9">
                  <c:v>0.17899999999999999</c:v>
                </c:pt>
                <c:pt idx="10">
                  <c:v>0.18404745695075322</c:v>
                </c:pt>
                <c:pt idx="11">
                  <c:v>0.192</c:v>
                </c:pt>
                <c:pt idx="12">
                  <c:v>0.19752937602761853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A-4D90-9ACA-D54D33340CEC}"/>
            </c:ext>
          </c:extLst>
        </c:ser>
        <c:ser>
          <c:idx val="2"/>
          <c:order val="2"/>
          <c:tx>
            <c:strRef>
              <c:f>'Data for Charts'!$A$11</c:f>
              <c:strCache>
                <c:ptCount val="1"/>
                <c:pt idx="0">
                  <c:v> Other Mortgage Loan </c:v>
                </c:pt>
              </c:strCache>
            </c:strRef>
          </c:tx>
          <c:spPr>
            <a:solidFill>
              <a:srgbClr val="D5D6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Charts'!$B$8:$N$8</c:f>
              <c:strCache>
                <c:ptCount val="13"/>
                <c:pt idx="0">
                  <c:v>Q1FY23</c:v>
                </c:pt>
                <c:pt idx="1">
                  <c:v>Q2FY23</c:v>
                </c:pt>
                <c:pt idx="2">
                  <c:v>Q3FY23</c:v>
                </c:pt>
                <c:pt idx="3">
                  <c:v>Q4FY23</c:v>
                </c:pt>
                <c:pt idx="4">
                  <c:v>Q1FY24</c:v>
                </c:pt>
                <c:pt idx="5">
                  <c:v>Q2FY24</c:v>
                </c:pt>
                <c:pt idx="6">
                  <c:v>Q3FY24</c:v>
                </c:pt>
                <c:pt idx="7">
                  <c:v>Q4FY24</c:v>
                </c:pt>
                <c:pt idx="8">
                  <c:v>Q1FY25</c:v>
                </c:pt>
                <c:pt idx="9">
                  <c:v>Q2FY25</c:v>
                </c:pt>
                <c:pt idx="10">
                  <c:v>Q3FY25</c:v>
                </c:pt>
                <c:pt idx="11">
                  <c:v>Q4FY25</c:v>
                </c:pt>
                <c:pt idx="12">
                  <c:v>Q1FY26</c:v>
                </c:pt>
              </c:strCache>
            </c:strRef>
          </c:cat>
          <c:val>
            <c:numRef>
              <c:f>'Data for Charts'!$B$11:$N$11</c:f>
              <c:numCache>
                <c:formatCode>0.0%</c:formatCode>
                <c:ptCount val="13"/>
                <c:pt idx="0">
                  <c:v>0.21290000000000009</c:v>
                </c:pt>
                <c:pt idx="1">
                  <c:v>0.19690000000000007</c:v>
                </c:pt>
                <c:pt idx="2">
                  <c:v>0.19890000000000008</c:v>
                </c:pt>
                <c:pt idx="3">
                  <c:v>0.19679999999999997</c:v>
                </c:pt>
                <c:pt idx="4">
                  <c:v>0.19800000000000006</c:v>
                </c:pt>
                <c:pt idx="5">
                  <c:v>0.18300000000000005</c:v>
                </c:pt>
                <c:pt idx="6">
                  <c:v>0.17500000000000004</c:v>
                </c:pt>
                <c:pt idx="7">
                  <c:v>0.13700000000000001</c:v>
                </c:pt>
                <c:pt idx="8">
                  <c:v>0.13500000000000001</c:v>
                </c:pt>
                <c:pt idx="9">
                  <c:v>0.13100000000000001</c:v>
                </c:pt>
                <c:pt idx="10">
                  <c:v>0.12986294136828039</c:v>
                </c:pt>
                <c:pt idx="11">
                  <c:v>0.128</c:v>
                </c:pt>
                <c:pt idx="12">
                  <c:v>0.12787552375395977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7A-4D90-9ACA-D54D33340C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82449839"/>
        <c:axId val="1882425839"/>
      </c:barChart>
      <c:catAx>
        <c:axId val="188244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82425839"/>
        <c:crosses val="autoZero"/>
        <c:auto val="1"/>
        <c:lblAlgn val="ctr"/>
        <c:lblOffset val="100"/>
        <c:noMultiLvlLbl val="0"/>
      </c:catAx>
      <c:valAx>
        <c:axId val="1882425839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882449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0.14615079365079364"/>
          <c:w val="0.83148901515151519"/>
          <c:h val="0.708873809523809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for Charts'!$A$20</c:f>
              <c:strCache>
                <c:ptCount val="1"/>
                <c:pt idx="0">
                  <c:v> Vintage States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Charts'!$B$19:$I$19</c:f>
              <c:strCache>
                <c:ptCount val="8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  <c:pt idx="7">
                  <c:v>FY25</c:v>
                </c:pt>
              </c:strCache>
            </c:strRef>
          </c:cat>
          <c:val>
            <c:numRef>
              <c:f>'Data for Charts'!$B$20:$I$20</c:f>
              <c:numCache>
                <c:formatCode>0%</c:formatCode>
                <c:ptCount val="8"/>
                <c:pt idx="0">
                  <c:v>0.97199999999999998</c:v>
                </c:pt>
                <c:pt idx="1">
                  <c:v>0.94600000000000006</c:v>
                </c:pt>
                <c:pt idx="2">
                  <c:v>0.92200000000000004</c:v>
                </c:pt>
                <c:pt idx="3">
                  <c:v>0.90500000000000014</c:v>
                </c:pt>
                <c:pt idx="4">
                  <c:v>0.89300000000000002</c:v>
                </c:pt>
                <c:pt idx="5">
                  <c:v>0.87300000000000011</c:v>
                </c:pt>
                <c:pt idx="6">
                  <c:v>0.85099999999999998</c:v>
                </c:pt>
                <c:pt idx="7">
                  <c:v>0.8304324447678717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9-4797-B6F2-DD51D54E05C8}"/>
            </c:ext>
          </c:extLst>
        </c:ser>
        <c:ser>
          <c:idx val="1"/>
          <c:order val="1"/>
          <c:tx>
            <c:strRef>
              <c:f>'Data for Charts'!$A$21</c:f>
              <c:strCache>
                <c:ptCount val="1"/>
                <c:pt idx="0">
                  <c:v> Emerging States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Charts'!$B$19:$I$19</c:f>
              <c:strCache>
                <c:ptCount val="8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  <c:pt idx="7">
                  <c:v>FY25</c:v>
                </c:pt>
              </c:strCache>
            </c:strRef>
          </c:cat>
          <c:val>
            <c:numRef>
              <c:f>'Data for Charts'!$B$21:$I$21</c:f>
              <c:numCache>
                <c:formatCode>0%</c:formatCode>
                <c:ptCount val="8"/>
                <c:pt idx="0">
                  <c:v>2.8000000000000025E-2</c:v>
                </c:pt>
                <c:pt idx="1">
                  <c:v>5.3999999999999937E-2</c:v>
                </c:pt>
                <c:pt idx="2">
                  <c:v>7.7999999999999958E-2</c:v>
                </c:pt>
                <c:pt idx="3">
                  <c:v>9.4999999999999862E-2</c:v>
                </c:pt>
                <c:pt idx="4">
                  <c:v>0.10699999999999998</c:v>
                </c:pt>
                <c:pt idx="5">
                  <c:v>0.12699999999999989</c:v>
                </c:pt>
                <c:pt idx="6">
                  <c:v>0.14900000000000002</c:v>
                </c:pt>
                <c:pt idx="7">
                  <c:v>0.1695675552321283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9-4797-B6F2-DD51D54E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82437359"/>
        <c:axId val="1882446479"/>
      </c:barChart>
      <c:catAx>
        <c:axId val="188243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82446479"/>
        <c:crosses val="autoZero"/>
        <c:auto val="1"/>
        <c:lblAlgn val="ctr"/>
        <c:lblOffset val="100"/>
        <c:noMultiLvlLbl val="0"/>
      </c:catAx>
      <c:valAx>
        <c:axId val="1882446479"/>
        <c:scaling>
          <c:orientation val="minMax"/>
          <c:max val="1"/>
          <c:min val="0.60000000000000009"/>
        </c:scaling>
        <c:delete val="1"/>
        <c:axPos val="l"/>
        <c:numFmt formatCode="0%" sourceLinked="1"/>
        <c:majorTickMark val="out"/>
        <c:minorTickMark val="none"/>
        <c:tickLblPos val="nextTo"/>
        <c:crossAx val="188243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467853535353533"/>
          <c:y val="0.29083531746031743"/>
          <c:w val="0.14396464646464643"/>
          <c:h val="0.36289285714285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Charts'!$A$14</c:f>
              <c:strCache>
                <c:ptCount val="1"/>
                <c:pt idx="0">
                  <c:v> Branches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Charts'!$B$13:$N$13</c:f>
              <c:strCache>
                <c:ptCount val="13"/>
                <c:pt idx="0">
                  <c:v>FY13</c:v>
                </c:pt>
                <c:pt idx="1">
                  <c:v>FY14</c:v>
                </c:pt>
                <c:pt idx="2">
                  <c:v>FY15</c:v>
                </c:pt>
                <c:pt idx="3">
                  <c:v>FY16</c:v>
                </c:pt>
                <c:pt idx="4">
                  <c:v>FY17</c:v>
                </c:pt>
                <c:pt idx="5">
                  <c:v>FY18</c:v>
                </c:pt>
                <c:pt idx="6">
                  <c:v>FY19</c:v>
                </c:pt>
                <c:pt idx="7">
                  <c:v>FY20</c:v>
                </c:pt>
                <c:pt idx="8">
                  <c:v>FY21</c:v>
                </c:pt>
                <c:pt idx="9">
                  <c:v>FY22</c:v>
                </c:pt>
                <c:pt idx="10">
                  <c:v>FY23</c:v>
                </c:pt>
                <c:pt idx="11">
                  <c:v>FY24</c:v>
                </c:pt>
                <c:pt idx="12">
                  <c:v>FY25</c:v>
                </c:pt>
              </c:strCache>
            </c:strRef>
          </c:cat>
          <c:val>
            <c:numRef>
              <c:f>'Data for Charts'!$B$14:$N$14</c:f>
              <c:numCache>
                <c:formatCode>General</c:formatCode>
                <c:ptCount val="13"/>
                <c:pt idx="0">
                  <c:v>25</c:v>
                </c:pt>
                <c:pt idx="1">
                  <c:v>35</c:v>
                </c:pt>
                <c:pt idx="2">
                  <c:v>42</c:v>
                </c:pt>
                <c:pt idx="3">
                  <c:v>44</c:v>
                </c:pt>
                <c:pt idx="4">
                  <c:v>94</c:v>
                </c:pt>
                <c:pt idx="5">
                  <c:v>165</c:v>
                </c:pt>
                <c:pt idx="6">
                  <c:v>210</c:v>
                </c:pt>
                <c:pt idx="7">
                  <c:v>250</c:v>
                </c:pt>
                <c:pt idx="8">
                  <c:v>280</c:v>
                </c:pt>
                <c:pt idx="9">
                  <c:v>314</c:v>
                </c:pt>
                <c:pt idx="10">
                  <c:v>346</c:v>
                </c:pt>
                <c:pt idx="11">
                  <c:v>367</c:v>
                </c:pt>
                <c:pt idx="12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B-4DC0-A881-89D70004C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92658607"/>
        <c:axId val="1892666767"/>
      </c:barChart>
      <c:catAx>
        <c:axId val="1892658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666767"/>
        <c:crosses val="autoZero"/>
        <c:auto val="1"/>
        <c:lblAlgn val="ctr"/>
        <c:lblOffset val="100"/>
        <c:noMultiLvlLbl val="0"/>
      </c:catAx>
      <c:valAx>
        <c:axId val="1892666767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92658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9819187291604543E-2"/>
          <c:y val="5.5252246080926944E-2"/>
          <c:w val="0.94036162541679091"/>
          <c:h val="0.69778722071314547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Charts'!$A$24</c:f>
              <c:strCache>
                <c:ptCount val="1"/>
                <c:pt idx="0">
                  <c:v> 1+DPD </c:v>
                </c:pt>
              </c:strCache>
            </c:strRef>
          </c:tx>
          <c:spPr>
            <a:ln w="28575" cap="rnd">
              <a:solidFill>
                <a:srgbClr val="29389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93895"/>
              </a:solidFill>
              <a:ln w="9525">
                <a:solidFill>
                  <a:srgbClr val="293895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7916234338256313E-2"/>
                  <c:y val="-7.7817864550127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B9-4F9A-9FEF-A863CF9BF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Charts'!$B$24:$H$24</c:f>
              <c:numCache>
                <c:formatCode>0.00%</c:formatCode>
                <c:ptCount val="7"/>
                <c:pt idx="0">
                  <c:v>3.4299999999999997E-2</c:v>
                </c:pt>
                <c:pt idx="1">
                  <c:v>2.4299999999999999E-2</c:v>
                </c:pt>
                <c:pt idx="2">
                  <c:v>6.3700000000000007E-2</c:v>
                </c:pt>
                <c:pt idx="3">
                  <c:v>4.4699999999999997E-2</c:v>
                </c:pt>
                <c:pt idx="4">
                  <c:v>3.301213985249235E-2</c:v>
                </c:pt>
                <c:pt idx="5">
                  <c:v>3.1199999999999999E-2</c:v>
                </c:pt>
                <c:pt idx="6">
                  <c:v>3.39E-2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9-4F9A-9FEF-A863CF9BF139}"/>
            </c:ext>
          </c:extLst>
        </c:ser>
        <c:ser>
          <c:idx val="1"/>
          <c:order val="1"/>
          <c:tx>
            <c:strRef>
              <c:f>'Data for Charts'!$A$25</c:f>
              <c:strCache>
                <c:ptCount val="1"/>
                <c:pt idx="0">
                  <c:v> GNPA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Charts'!$B$25:$H$25</c:f>
              <c:numCache>
                <c:formatCode>0.00%</c:formatCode>
                <c:ptCount val="7"/>
                <c:pt idx="0">
                  <c:v>4.7000000000000002E-3</c:v>
                </c:pt>
                <c:pt idx="1">
                  <c:v>4.5999999999999999E-3</c:v>
                </c:pt>
                <c:pt idx="2">
                  <c:v>9.7999999999999997E-3</c:v>
                </c:pt>
                <c:pt idx="3">
                  <c:v>9.9000000000000008E-3</c:v>
                </c:pt>
                <c:pt idx="4">
                  <c:v>9.2388934184662388E-3</c:v>
                </c:pt>
                <c:pt idx="5">
                  <c:v>9.3587917321395798E-3</c:v>
                </c:pt>
                <c:pt idx="6">
                  <c:v>1.0793816651892411E-2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B9-4F9A-9FEF-A863CF9BF139}"/>
            </c:ext>
          </c:extLst>
        </c:ser>
        <c:ser>
          <c:idx val="2"/>
          <c:order val="2"/>
          <c:tx>
            <c:strRef>
              <c:f>'Data for Charts'!$A$26</c:f>
              <c:strCache>
                <c:ptCount val="1"/>
                <c:pt idx="0">
                  <c:v> NNPA 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952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Charts'!$B$26:$H$26</c:f>
              <c:numCache>
                <c:formatCode>0.00%</c:formatCode>
                <c:ptCount val="7"/>
                <c:pt idx="0">
                  <c:v>3.7000000000000002E-3</c:v>
                </c:pt>
                <c:pt idx="1">
                  <c:v>3.3999999999999998E-3</c:v>
                </c:pt>
                <c:pt idx="2">
                  <c:v>7.1000000000000004E-3</c:v>
                </c:pt>
                <c:pt idx="3">
                  <c:v>7.7000000000000002E-3</c:v>
                </c:pt>
                <c:pt idx="4">
                  <c:v>6.7952650428141602E-3</c:v>
                </c:pt>
                <c:pt idx="5">
                  <c:v>6.702634534052186E-3</c:v>
                </c:pt>
                <c:pt idx="6">
                  <c:v>7.3412504947023517E-3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B9-4F9A-9FEF-A863CF9BF13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92758927"/>
        <c:axId val="1892746447"/>
      </c:lineChart>
      <c:catAx>
        <c:axId val="189275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746447"/>
        <c:crosses val="autoZero"/>
        <c:auto val="1"/>
        <c:lblAlgn val="ctr"/>
        <c:lblOffset val="100"/>
        <c:noMultiLvlLbl val="0"/>
      </c:catAx>
      <c:valAx>
        <c:axId val="1892746447"/>
        <c:scaling>
          <c:orientation val="minMax"/>
          <c:min val="-5.000000000000001E-3"/>
        </c:scaling>
        <c:delete val="1"/>
        <c:axPos val="l"/>
        <c:numFmt formatCode="0.00%" sourceLinked="1"/>
        <c:majorTickMark val="out"/>
        <c:minorTickMark val="none"/>
        <c:tickLblPos val="nextTo"/>
        <c:crossAx val="1892758927"/>
        <c:crosses val="autoZero"/>
        <c:crossBetween val="between"/>
        <c:majorUnit val="5.000000000000001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'Data for Charts'!$A$27</c:f>
              <c:strCache>
                <c:ptCount val="1"/>
                <c:pt idx="0">
                  <c:v> Credit Cost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6112127977315782E-2"/>
                  <c:y val="-5.277835345933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9-4DF0-9FE8-3B14DC7568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for Charts'!$B$23:$H$23</c:f>
              <c:strCache>
                <c:ptCount val="7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  <c:pt idx="6">
                  <c:v>FY25</c:v>
                </c:pt>
              </c:strCache>
            </c:strRef>
          </c:cat>
          <c:val>
            <c:numRef>
              <c:f>'Data for Charts'!$B$27:$H$27</c:f>
              <c:numCache>
                <c:formatCode>0.00%</c:formatCode>
                <c:ptCount val="7"/>
                <c:pt idx="0">
                  <c:v>1.8408488522229029E-3</c:v>
                </c:pt>
                <c:pt idx="1">
                  <c:v>2.309057585792044E-3</c:v>
                </c:pt>
                <c:pt idx="2">
                  <c:v>4.4696554742849649E-3</c:v>
                </c:pt>
                <c:pt idx="3">
                  <c:v>2.2627339472700491E-3</c:v>
                </c:pt>
                <c:pt idx="4">
                  <c:v>1.0169405683210333E-3</c:v>
                </c:pt>
                <c:pt idx="5">
                  <c:v>1.635399273453449E-3</c:v>
                </c:pt>
                <c:pt idx="6">
                  <c:v>1.5438764816289043E-3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19-4DF0-9FE8-3B14DC756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763727"/>
        <c:axId val="189276708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for Charts'!$A$24</c15:sqref>
                        </c15:formulaRef>
                      </c:ext>
                    </c:extLst>
                    <c:strCache>
                      <c:ptCount val="1"/>
                      <c:pt idx="0">
                        <c:v> 1+DPD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293895"/>
                    </a:solidFill>
                    <a:ln w="9525">
                      <a:solidFill>
                        <a:srgbClr val="293895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for Charts'!$B$24:$H$24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3.4299999999999997E-2</c:v>
                      </c:pt>
                      <c:pt idx="1">
                        <c:v>2.4299999999999999E-2</c:v>
                      </c:pt>
                      <c:pt idx="2">
                        <c:v>6.3700000000000007E-2</c:v>
                      </c:pt>
                      <c:pt idx="3">
                        <c:v>4.4699999999999997E-2</c:v>
                      </c:pt>
                      <c:pt idx="4">
                        <c:v>3.301213985249235E-2</c:v>
                      </c:pt>
                      <c:pt idx="5">
                        <c:v>3.1199999999999999E-2</c:v>
                      </c:pt>
                      <c:pt idx="6">
                        <c:v>3.39E-2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119-4DF0-9FE8-3B14DC7568B1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Charts'!$A$25</c15:sqref>
                        </c15:formulaRef>
                      </c:ext>
                    </c:extLst>
                    <c:strCache>
                      <c:ptCount val="1"/>
                      <c:pt idx="0">
                        <c:v> GNPA 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</c:spPr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Charts'!$B$25:$H$25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4.7000000000000002E-3</c:v>
                      </c:pt>
                      <c:pt idx="1">
                        <c:v>4.5999999999999999E-3</c:v>
                      </c:pt>
                      <c:pt idx="2">
                        <c:v>9.7999999999999997E-3</c:v>
                      </c:pt>
                      <c:pt idx="3">
                        <c:v>9.9000000000000008E-3</c:v>
                      </c:pt>
                      <c:pt idx="4">
                        <c:v>9.2388934184662388E-3</c:v>
                      </c:pt>
                      <c:pt idx="5">
                        <c:v>9.3587917321395798E-3</c:v>
                      </c:pt>
                      <c:pt idx="6">
                        <c:v>1.0793816651892411E-2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19-4DF0-9FE8-3B14DC7568B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Charts'!$A$26</c15:sqref>
                        </c15:formulaRef>
                      </c:ext>
                    </c:extLst>
                    <c:strCache>
                      <c:ptCount val="1"/>
                      <c:pt idx="0">
                        <c:v> NNPA </c:v>
                      </c:pt>
                    </c:strCache>
                  </c:strRef>
                </c:tx>
                <c:spPr>
                  <a:ln w="28575" cap="rnd">
                    <a:solidFill>
                      <a:srgbClr val="29389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chemeClr val="tx1"/>
                          </a:solidFill>
                          <a:latin typeface="Aptos Display" panose="020B0004020202020204" pitchFamily="34" charset="0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Charts'!$B$23:$H$23</c15:sqref>
                        </c15:formulaRef>
                      </c:ext>
                    </c:extLst>
                    <c:strCache>
                      <c:ptCount val="7"/>
                      <c:pt idx="0">
                        <c:v>FY19</c:v>
                      </c:pt>
                      <c:pt idx="1">
                        <c:v>FY20</c:v>
                      </c:pt>
                      <c:pt idx="2">
                        <c:v>FY21</c:v>
                      </c:pt>
                      <c:pt idx="3">
                        <c:v>FY22</c:v>
                      </c:pt>
                      <c:pt idx="4">
                        <c:v>FY23</c:v>
                      </c:pt>
                      <c:pt idx="5">
                        <c:v>FY24</c:v>
                      </c:pt>
                      <c:pt idx="6">
                        <c:v>FY25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for Charts'!$B$26:$H$26</c15:sqref>
                        </c15:formulaRef>
                      </c:ext>
                    </c:extLst>
                    <c:numCache>
                      <c:formatCode>0.00%</c:formatCode>
                      <c:ptCount val="7"/>
                      <c:pt idx="0">
                        <c:v>3.7000000000000002E-3</c:v>
                      </c:pt>
                      <c:pt idx="1">
                        <c:v>3.3999999999999998E-3</c:v>
                      </c:pt>
                      <c:pt idx="2">
                        <c:v>7.1000000000000004E-3</c:v>
                      </c:pt>
                      <c:pt idx="3">
                        <c:v>7.7000000000000002E-3</c:v>
                      </c:pt>
                      <c:pt idx="4">
                        <c:v>6.7952650428141602E-3</c:v>
                      </c:pt>
                      <c:pt idx="5">
                        <c:v>6.702634534052186E-3</c:v>
                      </c:pt>
                      <c:pt idx="6">
                        <c:v>7.3412504947023517E-3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19-4DF0-9FE8-3B14DC7568B1}"/>
                  </c:ext>
                </c:extLst>
              </c15:ser>
            </c15:filteredLineSeries>
          </c:ext>
        </c:extLst>
      </c:lineChart>
      <c:catAx>
        <c:axId val="189276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892767087"/>
        <c:crosses val="autoZero"/>
        <c:auto val="1"/>
        <c:lblAlgn val="ctr"/>
        <c:lblOffset val="100"/>
        <c:noMultiLvlLbl val="0"/>
      </c:catAx>
      <c:valAx>
        <c:axId val="1892767087"/>
        <c:scaling>
          <c:orientation val="minMax"/>
          <c:min val="-1.3000000000000004E-3"/>
        </c:scaling>
        <c:delete val="1"/>
        <c:axPos val="l"/>
        <c:numFmt formatCode="0.00%" sourceLinked="1"/>
        <c:majorTickMark val="none"/>
        <c:minorTickMark val="none"/>
        <c:tickLblPos val="nextTo"/>
        <c:crossAx val="1892763727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 Display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 Display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5.5436507936507937E-2"/>
          <c:w val="0.8290384615384615"/>
          <c:h val="0.83412698412698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Charts'!$A$37</c:f>
              <c:strCache>
                <c:ptCount val="1"/>
                <c:pt idx="0">
                  <c:v> NIM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Charts'!$B$36:$H$36</c15:sqref>
                  </c15:fullRef>
                </c:ext>
              </c:extLst>
              <c:f>'Data for Charts'!$C$36:$H$36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Charts'!$B$37:$H$37</c15:sqref>
                  </c15:fullRef>
                </c:ext>
              </c:extLst>
              <c:f>'Data for Charts'!$C$37:$H$37</c:f>
              <c:numCache>
                <c:formatCode>_(* #,##0_);_(* \(#,##0\);_(* "-"??_);_(@_)</c:formatCode>
                <c:ptCount val="6"/>
                <c:pt idx="0">
                  <c:v>5421.2165161690973</c:v>
                </c:pt>
                <c:pt idx="1">
                  <c:v>6409.0764520774492</c:v>
                </c:pt>
                <c:pt idx="2">
                  <c:v>8223.4231116102637</c:v>
                </c:pt>
                <c:pt idx="3">
                  <c:v>10119.795933401505</c:v>
                </c:pt>
                <c:pt idx="4">
                  <c:v>11843.561038072001</c:v>
                </c:pt>
                <c:pt idx="5">
                  <c:v>13426.222535086707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49-483A-8A6D-C730B935E6C8}"/>
            </c:ext>
          </c:extLst>
        </c:ser>
        <c:ser>
          <c:idx val="1"/>
          <c:order val="1"/>
          <c:tx>
            <c:strRef>
              <c:f>'Data for Charts'!$A$38</c:f>
              <c:strCache>
                <c:ptCount val="1"/>
                <c:pt idx="0">
                  <c:v> PAT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Charts'!$B$36:$H$36</c15:sqref>
                  </c15:fullRef>
                </c:ext>
              </c:extLst>
              <c:f>'Data for Charts'!$C$36:$H$36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Charts'!$B$38:$H$38</c15:sqref>
                  </c15:fullRef>
                </c:ext>
              </c:extLst>
              <c:f>'Data for Charts'!$C$38:$H$38</c:f>
              <c:numCache>
                <c:formatCode>_(* #,##0_);_(* \(#,##0\);_(* "-"??_);_(@_)</c:formatCode>
                <c:ptCount val="6"/>
                <c:pt idx="0">
                  <c:v>2490.6765042737211</c:v>
                </c:pt>
                <c:pt idx="1">
                  <c:v>2903.2920021715054</c:v>
                </c:pt>
                <c:pt idx="2">
                  <c:v>3575.0796183261932</c:v>
                </c:pt>
                <c:pt idx="3">
                  <c:v>4282.7862233836231</c:v>
                </c:pt>
                <c:pt idx="4">
                  <c:v>4908.3181286815288</c:v>
                </c:pt>
                <c:pt idx="5">
                  <c:v>5743.4478785688443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49-483A-8A6D-C730B935E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705667007"/>
        <c:axId val="1705682847"/>
      </c:barChart>
      <c:catAx>
        <c:axId val="170566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705682847"/>
        <c:crosses val="autoZero"/>
        <c:auto val="1"/>
        <c:lblAlgn val="ctr"/>
        <c:lblOffset val="100"/>
        <c:noMultiLvlLbl val="0"/>
      </c:catAx>
      <c:valAx>
        <c:axId val="1705682847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705667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83440170940165E-2"/>
          <c:y val="3.0890873015873017E-2"/>
          <c:w val="0.11527574786324786"/>
          <c:h val="9.72440476190476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925213675213675E-2"/>
          <c:y val="5.5436507936507937E-2"/>
          <c:w val="0.82960790598290601"/>
          <c:h val="0.79958809523809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for Charts'!$A$42</c:f>
              <c:strCache>
                <c:ptCount val="1"/>
                <c:pt idx="0">
                  <c:v> Net Worth </c:v>
                </c:pt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Aptos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'Data for Charts'!$B$41:$H$41</c15:sqref>
                  </c15:fullRef>
                </c:ext>
              </c:extLst>
              <c:f>'Data for Charts'!$C$41:$H$41</c:f>
              <c:strCache>
                <c:ptCount val="6"/>
                <c:pt idx="0">
                  <c:v>FY20</c:v>
                </c:pt>
                <c:pt idx="1">
                  <c:v>FY21</c:v>
                </c:pt>
                <c:pt idx="2">
                  <c:v>FY22</c:v>
                </c:pt>
                <c:pt idx="3">
                  <c:v>FY23</c:v>
                </c:pt>
                <c:pt idx="4">
                  <c:v>FY24</c:v>
                </c:pt>
                <c:pt idx="5">
                  <c:v>FY25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Charts'!$B$42:$H$42</c15:sqref>
                  </c15:fullRef>
                </c:ext>
              </c:extLst>
              <c:f>'Data for Charts'!$C$42:$H$42</c:f>
              <c:numCache>
                <c:formatCode>_(* #,##0_);_(* \(#,##0\);_(* "-"??_);_(@_)</c:formatCode>
                <c:ptCount val="6"/>
                <c:pt idx="0">
                  <c:v>20979.336973676531</c:v>
                </c:pt>
                <c:pt idx="1">
                  <c:v>24014.04792654319</c:v>
                </c:pt>
                <c:pt idx="2">
                  <c:v>28086.432961471834</c:v>
                </c:pt>
                <c:pt idx="3">
                  <c:v>32696.600112345801</c:v>
                </c:pt>
                <c:pt idx="4">
                  <c:v>37733.151922592137</c:v>
                </c:pt>
                <c:pt idx="5">
                  <c:v>43608.322557626816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A-440E-A341-7C313C8D9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014335311"/>
        <c:axId val="1014332431"/>
      </c:barChart>
      <c:catAx>
        <c:axId val="101433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014332431"/>
        <c:crosses val="autoZero"/>
        <c:auto val="1"/>
        <c:lblAlgn val="ctr"/>
        <c:lblOffset val="100"/>
        <c:noMultiLvlLbl val="0"/>
      </c:catAx>
      <c:valAx>
        <c:axId val="1014332431"/>
        <c:scaling>
          <c:orientation val="minMax"/>
          <c:min val="10000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01433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5857905982905981E-2"/>
          <c:y val="5.0199206349206354E-2"/>
          <c:w val="0.10449700854700855"/>
          <c:h val="0.10333055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ptos" panose="020B00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ptos" panose="020B00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031939567122938E-2"/>
          <c:y val="0.47363333333333335"/>
          <c:w val="0.97371007554109634"/>
          <c:h val="0.410452046783625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Operational!$T$62</c:f>
              <c:strCache>
                <c:ptCount val="1"/>
              </c:strCache>
            </c:strRef>
          </c:tx>
          <c:spPr>
            <a:solidFill>
              <a:srgbClr val="29389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1" i="0" u="none" strike="noStrike" kern="1200" baseline="0">
                    <a:solidFill>
                      <a:schemeClr val="tx1"/>
                    </a:solidFill>
                    <a:latin typeface="Aptos Display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Operational!$U$59:$AA$59</c15:sqref>
                  </c15:fullRef>
                </c:ext>
              </c:extLst>
              <c:f>Operational!$V$59:$AA$59</c:f>
              <c:strCache>
                <c:ptCount val="6"/>
                <c:pt idx="0">
                  <c:v> FY20 </c:v>
                </c:pt>
                <c:pt idx="1">
                  <c:v> FY21 </c:v>
                </c:pt>
                <c:pt idx="2">
                  <c:v> FY22 </c:v>
                </c:pt>
                <c:pt idx="3">
                  <c:v> FY23 </c:v>
                </c:pt>
                <c:pt idx="4">
                  <c:v> FY24 </c:v>
                </c:pt>
                <c:pt idx="5">
                  <c:v> FY25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Operational!$U$62:$AA$62</c15:sqref>
                  </c15:fullRef>
                </c:ext>
              </c:extLst>
              <c:f>Operational!$V$62:$AA$62</c:f>
              <c:numCache>
                <c:formatCode>_(* #,##0.0_);_(* \(#,##0.0\);_(* "-"??_);_(@_)</c:formatCode>
                <c:ptCount val="6"/>
                <c:pt idx="0">
                  <c:v>127.40826086956523</c:v>
                </c:pt>
                <c:pt idx="1">
                  <c:v>100.25863251969436</c:v>
                </c:pt>
                <c:pt idx="2">
                  <c:v>121.28738582491582</c:v>
                </c:pt>
                <c:pt idx="3">
                  <c:v>152.25882140745432</c:v>
                </c:pt>
                <c:pt idx="4">
                  <c:v>156.58401122019634</c:v>
                </c:pt>
                <c:pt idx="5">
                  <c:v>160.28811518324608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E-439A-8531-CF74CF0A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1325173631"/>
        <c:axId val="1325183231"/>
        <c:extLst/>
      </c:barChart>
      <c:catAx>
        <c:axId val="132517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ptos Display" panose="020B0004020202020204" pitchFamily="34" charset="0"/>
                <a:ea typeface="+mn-ea"/>
                <a:cs typeface="+mn-cs"/>
              </a:defRPr>
            </a:pPr>
            <a:endParaRPr lang="en-US"/>
          </a:p>
        </c:txPr>
        <c:crossAx val="1325183231"/>
        <c:crosses val="autoZero"/>
        <c:auto val="1"/>
        <c:lblAlgn val="ctr"/>
        <c:lblOffset val="100"/>
        <c:noMultiLvlLbl val="0"/>
      </c:catAx>
      <c:valAx>
        <c:axId val="1325183231"/>
        <c:scaling>
          <c:orientation val="minMax"/>
          <c:min val="85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1325173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148168</xdr:colOff>
      <xdr:row>0</xdr:row>
      <xdr:rowOff>28223</xdr:rowOff>
    </xdr:from>
    <xdr:to>
      <xdr:col>1</xdr:col>
      <xdr:colOff>3076223</xdr:colOff>
      <xdr:row>6</xdr:row>
      <xdr:rowOff>162980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68" y="28223"/>
          <a:ext cx="3330222" cy="12998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57149</xdr:rowOff>
    </xdr:from>
    <xdr:to>
      <xdr:col>13</xdr:col>
      <xdr:colOff>190499</xdr:colOff>
      <xdr:row>13</xdr:row>
      <xdr:rowOff>178594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491A53C4-F0FE-4D44-A9B9-4C17F340B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261937</xdr:colOff>
      <xdr:row>2</xdr:row>
      <xdr:rowOff>154781</xdr:rowOff>
    </xdr:from>
    <xdr:to>
      <xdr:col>12</xdr:col>
      <xdr:colOff>345281</xdr:colOff>
      <xdr:row>10</xdr:row>
      <xdr:rowOff>47625</xdr:rowOff>
    </xdr:to>
    <xdr:cxnSp macro="">
      <xdr:nvCxnSpPr>
        <xdr:cNvPr id="116" name="Straight Arrow Connector 115">
          <a:extLst>
            <a:ext uri="{FF2B5EF4-FFF2-40B4-BE49-F238E27FC236}">
              <a16:creationId xmlns:a16="http://schemas.microsoft.com/office/drawing/2014/main" id="{786C57A2-E9B5-343C-E4C3-91A6E7D1A645}"/>
            </a:ext>
          </a:extLst>
        </xdr:cNvPr>
        <xdr:cNvCxnSpPr/>
      </xdr:nvCxnSpPr>
      <xdr:spPr>
        <a:xfrm flipV="1">
          <a:off x="261937" y="559594"/>
          <a:ext cx="7167563" cy="1512094"/>
        </a:xfrm>
        <a:prstGeom prst="straightConnector1">
          <a:avLst/>
        </a:prstGeom>
        <a:ln w="28575">
          <a:solidFill>
            <a:srgbClr val="C00000"/>
          </a:solidFill>
          <a:prstDash val="lg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47624</xdr:colOff>
      <xdr:row>4</xdr:row>
      <xdr:rowOff>59531</xdr:rowOff>
    </xdr:from>
    <xdr:to>
      <xdr:col>8</xdr:col>
      <xdr:colOff>107156</xdr:colOff>
      <xdr:row>5</xdr:row>
      <xdr:rowOff>166687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C96E0F5C-D038-C5E2-653E-E60632E54521}"/>
            </a:ext>
          </a:extLst>
        </xdr:cNvPr>
        <xdr:cNvSpPr txBox="1"/>
      </xdr:nvSpPr>
      <xdr:spPr>
        <a:xfrm rot="20845951">
          <a:off x="2881312" y="869156"/>
          <a:ext cx="188118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400" b="1">
              <a:latin typeface="Aptos Display" panose="020B0004020202020204" pitchFamily="34" charset="0"/>
            </a:rPr>
            <a:t>45% CAGR since FY13</a:t>
          </a:r>
        </a:p>
      </xdr:txBody>
    </xdr:sp>
    <xdr:clientData/>
  </xdr:twoCellAnchor>
  <xdr:twoCellAnchor>
    <xdr:from>
      <xdr:col>0</xdr:col>
      <xdr:colOff>0</xdr:colOff>
      <xdr:row>18</xdr:row>
      <xdr:rowOff>47625</xdr:rowOff>
    </xdr:from>
    <xdr:to>
      <xdr:col>13</xdr:col>
      <xdr:colOff>228562</xdr:colOff>
      <xdr:row>30</xdr:row>
      <xdr:rowOff>138750</xdr:rowOff>
    </xdr:to>
    <xdr:graphicFrame macro="">
      <xdr:nvGraphicFramePr>
        <xdr:cNvPr id="122" name="Chart 121">
          <a:extLst>
            <a:ext uri="{FF2B5EF4-FFF2-40B4-BE49-F238E27FC236}">
              <a16:creationId xmlns:a16="http://schemas.microsoft.com/office/drawing/2014/main" id="{AB20CA58-FCB6-4775-8E53-F38215BA8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83342</xdr:rowOff>
    </xdr:from>
    <xdr:to>
      <xdr:col>13</xdr:col>
      <xdr:colOff>228562</xdr:colOff>
      <xdr:row>58</xdr:row>
      <xdr:rowOff>174467</xdr:rowOff>
    </xdr:to>
    <xdr:graphicFrame macro="">
      <xdr:nvGraphicFramePr>
        <xdr:cNvPr id="125" name="Chart 124">
          <a:extLst>
            <a:ext uri="{FF2B5EF4-FFF2-40B4-BE49-F238E27FC236}">
              <a16:creationId xmlns:a16="http://schemas.microsoft.com/office/drawing/2014/main" id="{82BA4BAC-C497-43EB-908C-E301B44C1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13</xdr:col>
      <xdr:colOff>228562</xdr:colOff>
      <xdr:row>44</xdr:row>
      <xdr:rowOff>99529</xdr:rowOff>
    </xdr:to>
    <xdr:graphicFrame macro="">
      <xdr:nvGraphicFramePr>
        <xdr:cNvPr id="126" name="Chart 125">
          <a:extLst>
            <a:ext uri="{FF2B5EF4-FFF2-40B4-BE49-F238E27FC236}">
              <a16:creationId xmlns:a16="http://schemas.microsoft.com/office/drawing/2014/main" id="{2B66873C-3326-4FFD-859B-622BD716F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61</xdr:row>
      <xdr:rowOff>0</xdr:rowOff>
    </xdr:from>
    <xdr:to>
      <xdr:col>6</xdr:col>
      <xdr:colOff>339094</xdr:colOff>
      <xdr:row>73</xdr:row>
      <xdr:rowOff>99529</xdr:rowOff>
    </xdr:to>
    <xdr:graphicFrame macro="">
      <xdr:nvGraphicFramePr>
        <xdr:cNvPr id="127" name="Chart 126">
          <a:extLst>
            <a:ext uri="{FF2B5EF4-FFF2-40B4-BE49-F238E27FC236}">
              <a16:creationId xmlns:a16="http://schemas.microsoft.com/office/drawing/2014/main" id="{FD5F199C-DAF6-4C3A-86E5-1BED2FACC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345282</xdr:colOff>
      <xdr:row>61</xdr:row>
      <xdr:rowOff>59531</xdr:rowOff>
    </xdr:from>
    <xdr:to>
      <xdr:col>12</xdr:col>
      <xdr:colOff>481969</xdr:colOff>
      <xdr:row>73</xdr:row>
      <xdr:rowOff>159060</xdr:rowOff>
    </xdr:to>
    <xdr:graphicFrame macro="">
      <xdr:nvGraphicFramePr>
        <xdr:cNvPr id="128" name="Chart 127">
          <a:extLst>
            <a:ext uri="{FF2B5EF4-FFF2-40B4-BE49-F238E27FC236}">
              <a16:creationId xmlns:a16="http://schemas.microsoft.com/office/drawing/2014/main" id="{FE4C72F2-5CF8-4285-A86E-2CE354DF3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13</xdr:col>
      <xdr:colOff>228562</xdr:colOff>
      <xdr:row>89</xdr:row>
      <xdr:rowOff>91125</xdr:rowOff>
    </xdr:to>
    <xdr:graphicFrame macro="">
      <xdr:nvGraphicFramePr>
        <xdr:cNvPr id="129" name="Chart 128">
          <a:extLst>
            <a:ext uri="{FF2B5EF4-FFF2-40B4-BE49-F238E27FC236}">
              <a16:creationId xmlns:a16="http://schemas.microsoft.com/office/drawing/2014/main" id="{29F560C9-9AA7-40B3-AD59-52E6C332D5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273844</xdr:colOff>
      <xdr:row>81</xdr:row>
      <xdr:rowOff>71436</xdr:rowOff>
    </xdr:from>
    <xdr:to>
      <xdr:col>14</xdr:col>
      <xdr:colOff>273844</xdr:colOff>
      <xdr:row>86</xdr:row>
      <xdr:rowOff>190499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F6F92E5D-4D2C-4CE7-BF6F-0F0D1C7BCC69}"/>
            </a:ext>
          </a:extLst>
        </xdr:cNvPr>
        <xdr:cNvSpPr txBox="1"/>
      </xdr:nvSpPr>
      <xdr:spPr>
        <a:xfrm rot="21600000">
          <a:off x="6750844" y="19502436"/>
          <a:ext cx="1821656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 baseline="0">
              <a:latin typeface="Aptos Display" panose="020B0004020202020204" pitchFamily="34" charset="0"/>
            </a:rPr>
            <a:t>5Y CAGR for NIM of 20%</a:t>
          </a:r>
        </a:p>
        <a:p>
          <a:endParaRPr lang="en-IN" sz="1200" b="1" baseline="0">
            <a:latin typeface="Aptos Display" panose="020B0004020202020204" pitchFamily="34" charset="0"/>
          </a:endParaRPr>
        </a:p>
        <a:p>
          <a:endParaRPr lang="en-IN" sz="1200" b="1" baseline="0">
            <a:latin typeface="Aptos Display" panose="020B0004020202020204" pitchFamily="34" charset="0"/>
          </a:endParaRPr>
        </a:p>
        <a:p>
          <a:endParaRPr lang="en-IN" sz="1200" b="1" baseline="0">
            <a:latin typeface="Aptos Display" panose="020B0004020202020204" pitchFamily="34" charset="0"/>
          </a:endParaRPr>
        </a:p>
        <a:p>
          <a:r>
            <a:rPr lang="en-IN" sz="1200" b="1" baseline="0">
              <a:latin typeface="Aptos Display" panose="020B0004020202020204" pitchFamily="34" charset="0"/>
            </a:rPr>
            <a:t>5Y CAGR for PAT of 18%</a:t>
          </a:r>
          <a:endParaRPr lang="en-IN" sz="1200" b="1">
            <a:latin typeface="Aptos Display" panose="020B0004020202020204" pitchFamily="34" charset="0"/>
          </a:endParaRPr>
        </a:p>
      </xdr:txBody>
    </xdr:sp>
    <xdr:clientData/>
  </xdr:twoCellAnchor>
  <xdr:twoCellAnchor>
    <xdr:from>
      <xdr:col>0</xdr:col>
      <xdr:colOff>0</xdr:colOff>
      <xdr:row>90</xdr:row>
      <xdr:rowOff>107154</xdr:rowOff>
    </xdr:from>
    <xdr:to>
      <xdr:col>13</xdr:col>
      <xdr:colOff>228562</xdr:colOff>
      <xdr:row>102</xdr:row>
      <xdr:rowOff>198279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202A8A-7537-4AA8-82B9-6A7B6967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295275</xdr:colOff>
      <xdr:row>95</xdr:row>
      <xdr:rowOff>140494</xdr:rowOff>
    </xdr:from>
    <xdr:to>
      <xdr:col>15</xdr:col>
      <xdr:colOff>119062</xdr:colOff>
      <xdr:row>97</xdr:row>
      <xdr:rowOff>59532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F677456-6DC1-4D60-B593-97481A19E8F3}"/>
            </a:ext>
          </a:extLst>
        </xdr:cNvPr>
        <xdr:cNvSpPr txBox="1"/>
      </xdr:nvSpPr>
      <xdr:spPr>
        <a:xfrm rot="21600000">
          <a:off x="6772275" y="22405182"/>
          <a:ext cx="2252662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200" b="1" baseline="0">
              <a:latin typeface="Aptos Display" panose="020B0004020202020204" pitchFamily="34" charset="0"/>
            </a:rPr>
            <a:t>5Y CAGR for Networth of 16%</a:t>
          </a:r>
        </a:p>
        <a:p>
          <a:r>
            <a:rPr lang="en-IN" sz="1200" b="1" baseline="0">
              <a:latin typeface="Aptos Display" panose="020B0004020202020204" pitchFamily="34" charset="0"/>
            </a:rPr>
            <a:t> </a:t>
          </a:r>
          <a:endParaRPr lang="en-IN" sz="1200" b="1">
            <a:latin typeface="Aptos Display" panose="020B0004020202020204" pitchFamily="34" charset="0"/>
          </a:endParaRPr>
        </a:p>
      </xdr:txBody>
    </xdr:sp>
    <xdr:clientData/>
  </xdr:twoCellAnchor>
  <xdr:twoCellAnchor>
    <xdr:from>
      <xdr:col>15</xdr:col>
      <xdr:colOff>59531</xdr:colOff>
      <xdr:row>6</xdr:row>
      <xdr:rowOff>178594</xdr:rowOff>
    </xdr:from>
    <xdr:to>
      <xdr:col>18</xdr:col>
      <xdr:colOff>238125</xdr:colOff>
      <xdr:row>10</xdr:row>
      <xdr:rowOff>25461</xdr:rowOff>
    </xdr:to>
    <xdr:sp macro="" textlink="">
      <xdr:nvSpPr>
        <xdr:cNvPr id="8" name="TextBox 37">
          <a:extLst>
            <a:ext uri="{FF2B5EF4-FFF2-40B4-BE49-F238E27FC236}">
              <a16:creationId xmlns:a16="http://schemas.microsoft.com/office/drawing/2014/main" id="{7AE2B83E-6CF3-4C9A-BDE4-2BB6A132F1A1}"/>
            </a:ext>
          </a:extLst>
        </xdr:cNvPr>
        <xdr:cNvSpPr txBox="1"/>
      </xdr:nvSpPr>
      <xdr:spPr>
        <a:xfrm>
          <a:off x="8965406" y="1393032"/>
          <a:ext cx="200025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Steller</a:t>
          </a:r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 growth and scaling business </a:t>
          </a:r>
          <a:endParaRPr lang="en-IN" sz="1600" b="1">
            <a:solidFill>
              <a:srgbClr val="293895"/>
            </a:solidFill>
            <a:latin typeface="Aptos" panose="020B0004020202020204" pitchFamily="34" charset="0"/>
            <a:cs typeface="Iskoola Pota" panose="020B0502040204020203" pitchFamily="34" charset="0"/>
          </a:endParaRPr>
        </a:p>
      </xdr:txBody>
    </xdr:sp>
    <xdr:clientData/>
  </xdr:twoCellAnchor>
  <xdr:twoCellAnchor>
    <xdr:from>
      <xdr:col>15</xdr:col>
      <xdr:colOff>126205</xdr:colOff>
      <xdr:row>20</xdr:row>
      <xdr:rowOff>126207</xdr:rowOff>
    </xdr:from>
    <xdr:to>
      <xdr:col>18</xdr:col>
      <xdr:colOff>304799</xdr:colOff>
      <xdr:row>23</xdr:row>
      <xdr:rowOff>175480</xdr:rowOff>
    </xdr:to>
    <xdr:sp macro="" textlink="">
      <xdr:nvSpPr>
        <xdr:cNvPr id="10" name="TextBox 37">
          <a:extLst>
            <a:ext uri="{FF2B5EF4-FFF2-40B4-BE49-F238E27FC236}">
              <a16:creationId xmlns:a16="http://schemas.microsoft.com/office/drawing/2014/main" id="{6B22AE68-30DE-4A9E-B35F-BF11ED5AB557}"/>
            </a:ext>
          </a:extLst>
        </xdr:cNvPr>
        <xdr:cNvSpPr txBox="1"/>
      </xdr:nvSpPr>
      <xdr:spPr>
        <a:xfrm>
          <a:off x="9032080" y="7210426"/>
          <a:ext cx="200025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Unique HFC with MSME business</a:t>
          </a:r>
        </a:p>
      </xdr:txBody>
    </xdr:sp>
    <xdr:clientData/>
  </xdr:twoCellAnchor>
  <xdr:twoCellAnchor>
    <xdr:from>
      <xdr:col>15</xdr:col>
      <xdr:colOff>111919</xdr:colOff>
      <xdr:row>35</xdr:row>
      <xdr:rowOff>147638</xdr:rowOff>
    </xdr:from>
    <xdr:to>
      <xdr:col>18</xdr:col>
      <xdr:colOff>290513</xdr:colOff>
      <xdr:row>40</xdr:row>
      <xdr:rowOff>69267</xdr:rowOff>
    </xdr:to>
    <xdr:sp macro="" textlink="">
      <xdr:nvSpPr>
        <xdr:cNvPr id="11" name="TextBox 37">
          <a:extLst>
            <a:ext uri="{FF2B5EF4-FFF2-40B4-BE49-F238E27FC236}">
              <a16:creationId xmlns:a16="http://schemas.microsoft.com/office/drawing/2014/main" id="{69950AFF-9F41-4AC2-ADA5-35370F158E91}"/>
            </a:ext>
          </a:extLst>
        </xdr:cNvPr>
        <xdr:cNvSpPr txBox="1"/>
      </xdr:nvSpPr>
      <xdr:spPr>
        <a:xfrm>
          <a:off x="9017794" y="10267951"/>
          <a:ext cx="2000250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Contingious</a:t>
          </a:r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 branch expansion to scale business</a:t>
          </a:r>
        </a:p>
      </xdr:txBody>
    </xdr:sp>
    <xdr:clientData/>
  </xdr:twoCellAnchor>
  <xdr:twoCellAnchor>
    <xdr:from>
      <xdr:col>15</xdr:col>
      <xdr:colOff>85724</xdr:colOff>
      <xdr:row>49</xdr:row>
      <xdr:rowOff>14288</xdr:rowOff>
    </xdr:from>
    <xdr:to>
      <xdr:col>18</xdr:col>
      <xdr:colOff>264318</xdr:colOff>
      <xdr:row>55</xdr:row>
      <xdr:rowOff>10678</xdr:rowOff>
    </xdr:to>
    <xdr:sp macro="" textlink="">
      <xdr:nvSpPr>
        <xdr:cNvPr id="12" name="TextBox 37">
          <a:extLst>
            <a:ext uri="{FF2B5EF4-FFF2-40B4-BE49-F238E27FC236}">
              <a16:creationId xmlns:a16="http://schemas.microsoft.com/office/drawing/2014/main" id="{17B74E39-0178-477E-8979-3330AB1B7F3C}"/>
            </a:ext>
          </a:extLst>
        </xdr:cNvPr>
        <xdr:cNvSpPr txBox="1"/>
      </xdr:nvSpPr>
      <xdr:spPr>
        <a:xfrm>
          <a:off x="8991599" y="12968288"/>
          <a:ext cx="2000250" cy="1210828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Reduced concentration risk with expansion in new states</a:t>
          </a:r>
        </a:p>
      </xdr:txBody>
    </xdr:sp>
    <xdr:clientData/>
  </xdr:twoCellAnchor>
  <xdr:twoCellAnchor>
    <xdr:from>
      <xdr:col>15</xdr:col>
      <xdr:colOff>59531</xdr:colOff>
      <xdr:row>63</xdr:row>
      <xdr:rowOff>142876</xdr:rowOff>
    </xdr:from>
    <xdr:to>
      <xdr:col>18</xdr:col>
      <xdr:colOff>238125</xdr:colOff>
      <xdr:row>66</xdr:row>
      <xdr:rowOff>192149</xdr:rowOff>
    </xdr:to>
    <xdr:sp macro="" textlink="">
      <xdr:nvSpPr>
        <xdr:cNvPr id="13" name="TextBox 37">
          <a:extLst>
            <a:ext uri="{FF2B5EF4-FFF2-40B4-BE49-F238E27FC236}">
              <a16:creationId xmlns:a16="http://schemas.microsoft.com/office/drawing/2014/main" id="{1C8A8257-92D6-4070-A283-CAED29536ABA}"/>
            </a:ext>
          </a:extLst>
        </xdr:cNvPr>
        <xdr:cNvSpPr txBox="1"/>
      </xdr:nvSpPr>
      <xdr:spPr>
        <a:xfrm>
          <a:off x="8965406" y="15930564"/>
          <a:ext cx="2000250" cy="656491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Best in class asset quality</a:t>
          </a:r>
        </a:p>
      </xdr:txBody>
    </xdr:sp>
    <xdr:clientData/>
  </xdr:twoCellAnchor>
  <xdr:twoCellAnchor>
    <xdr:from>
      <xdr:col>15</xdr:col>
      <xdr:colOff>92867</xdr:colOff>
      <xdr:row>80</xdr:row>
      <xdr:rowOff>188120</xdr:rowOff>
    </xdr:from>
    <xdr:to>
      <xdr:col>18</xdr:col>
      <xdr:colOff>535781</xdr:colOff>
      <xdr:row>84</xdr:row>
      <xdr:rowOff>34988</xdr:rowOff>
    </xdr:to>
    <xdr:sp macro="" textlink="">
      <xdr:nvSpPr>
        <xdr:cNvPr id="14" name="TextBox 37">
          <a:extLst>
            <a:ext uri="{FF2B5EF4-FFF2-40B4-BE49-F238E27FC236}">
              <a16:creationId xmlns:a16="http://schemas.microsoft.com/office/drawing/2014/main" id="{73D7A5A5-C5F2-4147-AF8F-0CB2C21AB296}"/>
            </a:ext>
          </a:extLst>
        </xdr:cNvPr>
        <xdr:cNvSpPr txBox="1"/>
      </xdr:nvSpPr>
      <xdr:spPr>
        <a:xfrm>
          <a:off x="8998742" y="19416714"/>
          <a:ext cx="2264570" cy="656493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&gt;2x NIM since FY20</a:t>
          </a:r>
        </a:p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&gt;2x PAT since FY20</a:t>
          </a:r>
        </a:p>
      </xdr:txBody>
    </xdr:sp>
    <xdr:clientData/>
  </xdr:twoCellAnchor>
  <xdr:twoCellAnchor>
    <xdr:from>
      <xdr:col>14</xdr:col>
      <xdr:colOff>607217</xdr:colOff>
      <xdr:row>111</xdr:row>
      <xdr:rowOff>176429</xdr:rowOff>
    </xdr:from>
    <xdr:to>
      <xdr:col>18</xdr:col>
      <xdr:colOff>309561</xdr:colOff>
      <xdr:row>115</xdr:row>
      <xdr:rowOff>23296</xdr:rowOff>
    </xdr:to>
    <xdr:sp macro="" textlink="">
      <xdr:nvSpPr>
        <xdr:cNvPr id="15" name="TextBox 37">
          <a:extLst>
            <a:ext uri="{FF2B5EF4-FFF2-40B4-BE49-F238E27FC236}">
              <a16:creationId xmlns:a16="http://schemas.microsoft.com/office/drawing/2014/main" id="{5A852BC6-9199-45DE-997A-426ED06ADA40}"/>
            </a:ext>
          </a:extLst>
        </xdr:cNvPr>
        <xdr:cNvSpPr txBox="1"/>
      </xdr:nvSpPr>
      <xdr:spPr>
        <a:xfrm>
          <a:off x="8905873" y="22643523"/>
          <a:ext cx="2131219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Diversified AuM across states </a:t>
          </a:r>
        </a:p>
      </xdr:txBody>
    </xdr:sp>
    <xdr:clientData/>
  </xdr:twoCellAnchor>
  <xdr:twoCellAnchor>
    <xdr:from>
      <xdr:col>15</xdr:col>
      <xdr:colOff>150018</xdr:colOff>
      <xdr:row>94</xdr:row>
      <xdr:rowOff>126208</xdr:rowOff>
    </xdr:from>
    <xdr:to>
      <xdr:col>18</xdr:col>
      <xdr:colOff>592932</xdr:colOff>
      <xdr:row>97</xdr:row>
      <xdr:rowOff>175481</xdr:rowOff>
    </xdr:to>
    <xdr:sp macro="" textlink="">
      <xdr:nvSpPr>
        <xdr:cNvPr id="19" name="TextBox 37">
          <a:extLst>
            <a:ext uri="{FF2B5EF4-FFF2-40B4-BE49-F238E27FC236}">
              <a16:creationId xmlns:a16="http://schemas.microsoft.com/office/drawing/2014/main" id="{98DFC1C2-738B-4C20-BC3F-A40D544ED0F3}"/>
            </a:ext>
          </a:extLst>
        </xdr:cNvPr>
        <xdr:cNvSpPr txBox="1"/>
      </xdr:nvSpPr>
      <xdr:spPr>
        <a:xfrm>
          <a:off x="9055893" y="22188489"/>
          <a:ext cx="2264570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~2x shareholder value since FY19</a:t>
          </a:r>
        </a:p>
      </xdr:txBody>
    </xdr:sp>
    <xdr:clientData/>
  </xdr:twoCellAnchor>
  <xdr:twoCellAnchor>
    <xdr:from>
      <xdr:col>0</xdr:col>
      <xdr:colOff>0</xdr:colOff>
      <xdr:row>142</xdr:row>
      <xdr:rowOff>27861</xdr:rowOff>
    </xdr:from>
    <xdr:to>
      <xdr:col>6</xdr:col>
      <xdr:colOff>339094</xdr:colOff>
      <xdr:row>154</xdr:row>
      <xdr:rowOff>118986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2D93759-B3FB-3CB7-8F0E-CDBA1C7DF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28826</xdr:colOff>
      <xdr:row>143</xdr:row>
      <xdr:rowOff>114851</xdr:rowOff>
    </xdr:from>
    <xdr:to>
      <xdr:col>6</xdr:col>
      <xdr:colOff>367920</xdr:colOff>
      <xdr:row>148</xdr:row>
      <xdr:rowOff>182820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7C008660-8F96-188B-5029-F17EDE2EF5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21863</xdr:colOff>
      <xdr:row>142</xdr:row>
      <xdr:rowOff>47626</xdr:rowOff>
    </xdr:from>
    <xdr:to>
      <xdr:col>13</xdr:col>
      <xdr:colOff>158550</xdr:colOff>
      <xdr:row>154</xdr:row>
      <xdr:rowOff>138751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334C01C-FC96-1339-9C28-FB7886FB7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92556</xdr:colOff>
      <xdr:row>141</xdr:row>
      <xdr:rowOff>109371</xdr:rowOff>
    </xdr:from>
    <xdr:to>
      <xdr:col>6</xdr:col>
      <xdr:colOff>431650</xdr:colOff>
      <xdr:row>142</xdr:row>
      <xdr:rowOff>195970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B682454E-ADF3-706B-2818-749C64462E6A}"/>
            </a:ext>
          </a:extLst>
        </xdr:cNvPr>
        <xdr:cNvGrpSpPr/>
      </xdr:nvGrpSpPr>
      <xdr:grpSpPr>
        <a:xfrm>
          <a:off x="92556" y="28648652"/>
          <a:ext cx="3780000" cy="289006"/>
          <a:chOff x="7902624" y="6109387"/>
          <a:chExt cx="4418699" cy="289005"/>
        </a:xfrm>
      </xdr:grpSpPr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E2736E28-25F7-BDE3-86B0-0480FA80346F}"/>
              </a:ext>
            </a:extLst>
          </xdr:cNvPr>
          <xdr:cNvGrpSpPr/>
        </xdr:nvGrpSpPr>
        <xdr:grpSpPr>
          <a:xfrm>
            <a:off x="7902624" y="6109387"/>
            <a:ext cx="2548776" cy="282193"/>
            <a:chOff x="7902624" y="6109387"/>
            <a:chExt cx="2548776" cy="282193"/>
          </a:xfrm>
        </xdr:grpSpPr>
        <xdr:sp macro="" textlink="">
          <xdr:nvSpPr>
            <xdr:cNvPr id="42" name="TextBox 80">
              <a:extLst>
                <a:ext uri="{FF2B5EF4-FFF2-40B4-BE49-F238E27FC236}">
                  <a16:creationId xmlns:a16="http://schemas.microsoft.com/office/drawing/2014/main" id="{9910D277-F1C3-2250-0E4A-5875C350456A}"/>
                </a:ext>
              </a:extLst>
            </xdr:cNvPr>
            <xdr:cNvSpPr txBox="1"/>
          </xdr:nvSpPr>
          <xdr:spPr>
            <a:xfrm>
              <a:off x="8145373" y="6109387"/>
              <a:ext cx="2306027" cy="2821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Disbursement</a:t>
              </a:r>
              <a:r>
                <a:rPr lang="en-US" sz="1200" b="1" kern="1200"/>
                <a:t>/branch</a:t>
              </a:r>
              <a:endParaRPr lang="en-IN" sz="1200"/>
            </a:p>
          </xdr:txBody>
        </xdr:sp>
        <xdr:sp macro="" textlink="">
          <xdr:nvSpPr>
            <xdr:cNvPr id="43" name="Rectangle 42">
              <a:extLst>
                <a:ext uri="{FF2B5EF4-FFF2-40B4-BE49-F238E27FC236}">
                  <a16:creationId xmlns:a16="http://schemas.microsoft.com/office/drawing/2014/main" id="{4B8F7DD4-B31E-38C6-317B-F9A8CA15221A}"/>
                </a:ext>
              </a:extLst>
            </xdr:cNvPr>
            <xdr:cNvSpPr/>
          </xdr:nvSpPr>
          <xdr:spPr>
            <a:xfrm>
              <a:off x="7902624" y="6156429"/>
              <a:ext cx="270000" cy="180000"/>
            </a:xfrm>
            <a:prstGeom prst="rect">
              <a:avLst/>
            </a:prstGeom>
            <a:solidFill>
              <a:srgbClr val="29389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IN" sz="1200"/>
            </a:p>
          </xdr:txBody>
        </xdr:sp>
      </xdr:grpSp>
      <xdr:grpSp>
        <xdr:nvGrpSpPr>
          <xdr:cNvPr id="37" name="Group 36">
            <a:extLst>
              <a:ext uri="{FF2B5EF4-FFF2-40B4-BE49-F238E27FC236}">
                <a16:creationId xmlns:a16="http://schemas.microsoft.com/office/drawing/2014/main" id="{D9715F57-EC6C-542C-AD33-325E7BF0187E}"/>
              </a:ext>
            </a:extLst>
          </xdr:cNvPr>
          <xdr:cNvGrpSpPr/>
        </xdr:nvGrpSpPr>
        <xdr:grpSpPr>
          <a:xfrm>
            <a:off x="10577263" y="6118187"/>
            <a:ext cx="1744060" cy="280205"/>
            <a:chOff x="10577263" y="6118187"/>
            <a:chExt cx="1744060" cy="280205"/>
          </a:xfrm>
        </xdr:grpSpPr>
        <xdr:sp macro="" textlink="">
          <xdr:nvSpPr>
            <xdr:cNvPr id="38" name="TextBox 81">
              <a:extLst>
                <a:ext uri="{FF2B5EF4-FFF2-40B4-BE49-F238E27FC236}">
                  <a16:creationId xmlns:a16="http://schemas.microsoft.com/office/drawing/2014/main" id="{6F770D25-9EA3-8F79-2783-E9E3DA72CFD2}"/>
                </a:ext>
              </a:extLst>
            </xdr:cNvPr>
            <xdr:cNvSpPr txBox="1"/>
          </xdr:nvSpPr>
          <xdr:spPr>
            <a:xfrm>
              <a:off x="10919837" y="6118187"/>
              <a:ext cx="1401486" cy="2802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AuM/branch</a:t>
              </a:r>
              <a:endParaRPr lang="en-IN" sz="1200">
                <a:latin typeface="Aptos Display" panose="020B0004020202020204" pitchFamily="34" charset="0"/>
              </a:endParaRPr>
            </a:p>
          </xdr:txBody>
        </xdr:sp>
        <xdr:grpSp>
          <xdr:nvGrpSpPr>
            <xdr:cNvPr id="39" name="Group 38">
              <a:extLst>
                <a:ext uri="{FF2B5EF4-FFF2-40B4-BE49-F238E27FC236}">
                  <a16:creationId xmlns:a16="http://schemas.microsoft.com/office/drawing/2014/main" id="{580E1399-BB85-A004-A11E-49D590E3B3EF}"/>
                </a:ext>
              </a:extLst>
            </xdr:cNvPr>
            <xdr:cNvGrpSpPr/>
          </xdr:nvGrpSpPr>
          <xdr:grpSpPr>
            <a:xfrm>
              <a:off x="10577263" y="6191951"/>
              <a:ext cx="360000" cy="108000"/>
              <a:chOff x="10577263" y="6191951"/>
              <a:chExt cx="360000" cy="108000"/>
            </a:xfrm>
          </xdr:grpSpPr>
          <xdr:sp macro="" textlink="">
            <xdr:nvSpPr>
              <xdr:cNvPr id="40" name="Rectangle 39">
                <a:extLst>
                  <a:ext uri="{FF2B5EF4-FFF2-40B4-BE49-F238E27FC236}">
                    <a16:creationId xmlns:a16="http://schemas.microsoft.com/office/drawing/2014/main" id="{C1AD95F6-993C-7577-E54E-FA5A5BDBD7BB}"/>
                  </a:ext>
                </a:extLst>
              </xdr:cNvPr>
              <xdr:cNvSpPr/>
            </xdr:nvSpPr>
            <xdr:spPr>
              <a:xfrm>
                <a:off x="10577263" y="6224745"/>
                <a:ext cx="360000" cy="54000"/>
              </a:xfrm>
              <a:prstGeom prst="rect">
                <a:avLst/>
              </a:prstGeom>
              <a:solidFill>
                <a:srgbClr val="C00000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>
                  <a:solidFill>
                    <a:srgbClr val="C00000"/>
                  </a:solidFill>
                </a:endParaRPr>
              </a:p>
            </xdr:txBody>
          </xdr:sp>
          <xdr:sp macro="" textlink="">
            <xdr:nvSpPr>
              <xdr:cNvPr id="41" name="Oval 40">
                <a:extLst>
                  <a:ext uri="{FF2B5EF4-FFF2-40B4-BE49-F238E27FC236}">
                    <a16:creationId xmlns:a16="http://schemas.microsoft.com/office/drawing/2014/main" id="{4D20AE23-1F3A-0B42-0AD1-710F4384B6C2}"/>
                  </a:ext>
                </a:extLst>
              </xdr:cNvPr>
              <xdr:cNvSpPr/>
            </xdr:nvSpPr>
            <xdr:spPr>
              <a:xfrm>
                <a:off x="10685399" y="6191951"/>
                <a:ext cx="108000" cy="108000"/>
              </a:xfrm>
              <a:prstGeom prst="ellipse">
                <a:avLst/>
              </a:prstGeom>
              <a:solidFill>
                <a:srgbClr val="C00000"/>
              </a:solidFill>
              <a:ln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/>
              </a:p>
            </xdr:txBody>
          </xdr:sp>
        </xdr:grpSp>
      </xdr:grpSp>
    </xdr:grpSp>
    <xdr:clientData/>
  </xdr:twoCellAnchor>
  <xdr:twoCellAnchor>
    <xdr:from>
      <xdr:col>7</xdr:col>
      <xdr:colOff>125892</xdr:colOff>
      <xdr:row>141</xdr:row>
      <xdr:rowOff>142709</xdr:rowOff>
    </xdr:from>
    <xdr:to>
      <xdr:col>13</xdr:col>
      <xdr:colOff>262579</xdr:colOff>
      <xdr:row>143</xdr:row>
      <xdr:rowOff>26901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2CF1E719-8653-4E47-8D42-A79C3D2A2987}"/>
            </a:ext>
          </a:extLst>
        </xdr:cNvPr>
        <xdr:cNvGrpSpPr/>
      </xdr:nvGrpSpPr>
      <xdr:grpSpPr>
        <a:xfrm>
          <a:off x="4174017" y="28681990"/>
          <a:ext cx="3780000" cy="289005"/>
          <a:chOff x="7902624" y="6109387"/>
          <a:chExt cx="4418699" cy="289005"/>
        </a:xfrm>
      </xdr:grpSpPr>
      <xdr:grpSp>
        <xdr:nvGrpSpPr>
          <xdr:cNvPr id="45" name="Group 44">
            <a:extLst>
              <a:ext uri="{FF2B5EF4-FFF2-40B4-BE49-F238E27FC236}">
                <a16:creationId xmlns:a16="http://schemas.microsoft.com/office/drawing/2014/main" id="{6F4D1930-4DCE-C8D3-BA63-8927B3D24504}"/>
              </a:ext>
            </a:extLst>
          </xdr:cNvPr>
          <xdr:cNvGrpSpPr/>
        </xdr:nvGrpSpPr>
        <xdr:grpSpPr>
          <a:xfrm>
            <a:off x="7902624" y="6109387"/>
            <a:ext cx="2548776" cy="282193"/>
            <a:chOff x="7902624" y="6109387"/>
            <a:chExt cx="2548776" cy="282193"/>
          </a:xfrm>
        </xdr:grpSpPr>
        <xdr:sp macro="" textlink="">
          <xdr:nvSpPr>
            <xdr:cNvPr id="51" name="TextBox 80">
              <a:extLst>
                <a:ext uri="{FF2B5EF4-FFF2-40B4-BE49-F238E27FC236}">
                  <a16:creationId xmlns:a16="http://schemas.microsoft.com/office/drawing/2014/main" id="{9BC8A1C9-FAFC-396F-C22C-24C30A949030}"/>
                </a:ext>
              </a:extLst>
            </xdr:cNvPr>
            <xdr:cNvSpPr txBox="1"/>
          </xdr:nvSpPr>
          <xdr:spPr>
            <a:xfrm>
              <a:off x="8145373" y="6109387"/>
              <a:ext cx="2306027" cy="28219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Disbursement</a:t>
              </a:r>
              <a:r>
                <a:rPr lang="en-US" sz="1200" b="1" kern="1200"/>
                <a:t>/Employee</a:t>
              </a:r>
              <a:endParaRPr lang="en-IN" sz="1200"/>
            </a:p>
          </xdr:txBody>
        </xdr:sp>
        <xdr:sp macro="" textlink="">
          <xdr:nvSpPr>
            <xdr:cNvPr id="52" name="Rectangle 51">
              <a:extLst>
                <a:ext uri="{FF2B5EF4-FFF2-40B4-BE49-F238E27FC236}">
                  <a16:creationId xmlns:a16="http://schemas.microsoft.com/office/drawing/2014/main" id="{4FA9F3FD-8BA2-F329-71A4-B1B790C663E2}"/>
                </a:ext>
              </a:extLst>
            </xdr:cNvPr>
            <xdr:cNvSpPr/>
          </xdr:nvSpPr>
          <xdr:spPr>
            <a:xfrm>
              <a:off x="7902624" y="6156429"/>
              <a:ext cx="270000" cy="180000"/>
            </a:xfrm>
            <a:prstGeom prst="rect">
              <a:avLst/>
            </a:prstGeom>
            <a:solidFill>
              <a:srgbClr val="293895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n-IN" sz="1200"/>
            </a:p>
          </xdr:txBody>
        </xdr:sp>
      </xdr:grpSp>
      <xdr:grpSp>
        <xdr:nvGrpSpPr>
          <xdr:cNvPr id="46" name="Group 45">
            <a:extLst>
              <a:ext uri="{FF2B5EF4-FFF2-40B4-BE49-F238E27FC236}">
                <a16:creationId xmlns:a16="http://schemas.microsoft.com/office/drawing/2014/main" id="{26F09920-7C87-8CB6-FABC-4F9B76853CF5}"/>
              </a:ext>
            </a:extLst>
          </xdr:cNvPr>
          <xdr:cNvGrpSpPr/>
        </xdr:nvGrpSpPr>
        <xdr:grpSpPr>
          <a:xfrm>
            <a:off x="10577263" y="6118187"/>
            <a:ext cx="1744060" cy="280205"/>
            <a:chOff x="10577263" y="6118187"/>
            <a:chExt cx="1744060" cy="280205"/>
          </a:xfrm>
        </xdr:grpSpPr>
        <xdr:sp macro="" textlink="">
          <xdr:nvSpPr>
            <xdr:cNvPr id="47" name="TextBox 81">
              <a:extLst>
                <a:ext uri="{FF2B5EF4-FFF2-40B4-BE49-F238E27FC236}">
                  <a16:creationId xmlns:a16="http://schemas.microsoft.com/office/drawing/2014/main" id="{CF73C087-7C46-FBA4-998F-5A31913D5964}"/>
                </a:ext>
              </a:extLst>
            </xdr:cNvPr>
            <xdr:cNvSpPr txBox="1"/>
          </xdr:nvSpPr>
          <xdr:spPr>
            <a:xfrm>
              <a:off x="10919837" y="6118187"/>
              <a:ext cx="1401486" cy="2802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200" b="1" kern="1200">
                  <a:latin typeface="Aptos Display" panose="020B0004020202020204" pitchFamily="34" charset="0"/>
                </a:rPr>
                <a:t>AuM/Employee</a:t>
              </a:r>
              <a:endParaRPr lang="en-IN" sz="1200">
                <a:latin typeface="Aptos Display" panose="020B0004020202020204" pitchFamily="34" charset="0"/>
              </a:endParaRPr>
            </a:p>
          </xdr:txBody>
        </xdr:sp>
        <xdr:grpSp>
          <xdr:nvGrpSpPr>
            <xdr:cNvPr id="48" name="Group 47">
              <a:extLst>
                <a:ext uri="{FF2B5EF4-FFF2-40B4-BE49-F238E27FC236}">
                  <a16:creationId xmlns:a16="http://schemas.microsoft.com/office/drawing/2014/main" id="{90B9A37B-2BF2-8001-CE20-2E820F0674CF}"/>
                </a:ext>
              </a:extLst>
            </xdr:cNvPr>
            <xdr:cNvGrpSpPr/>
          </xdr:nvGrpSpPr>
          <xdr:grpSpPr>
            <a:xfrm>
              <a:off x="10577263" y="6191951"/>
              <a:ext cx="360000" cy="108000"/>
              <a:chOff x="10577263" y="6191951"/>
              <a:chExt cx="360000" cy="108000"/>
            </a:xfrm>
          </xdr:grpSpPr>
          <xdr:sp macro="" textlink="">
            <xdr:nvSpPr>
              <xdr:cNvPr id="49" name="Rectangle 48">
                <a:extLst>
                  <a:ext uri="{FF2B5EF4-FFF2-40B4-BE49-F238E27FC236}">
                    <a16:creationId xmlns:a16="http://schemas.microsoft.com/office/drawing/2014/main" id="{FEA25681-F10E-8265-4E67-E51F85BAA5C2}"/>
                  </a:ext>
                </a:extLst>
              </xdr:cNvPr>
              <xdr:cNvSpPr/>
            </xdr:nvSpPr>
            <xdr:spPr>
              <a:xfrm>
                <a:off x="10577263" y="6224745"/>
                <a:ext cx="360000" cy="54000"/>
              </a:xfrm>
              <a:prstGeom prst="rect">
                <a:avLst/>
              </a:prstGeom>
              <a:solidFill>
                <a:srgbClr val="C00000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>
                  <a:solidFill>
                    <a:srgbClr val="C00000"/>
                  </a:solidFill>
                </a:endParaRPr>
              </a:p>
            </xdr:txBody>
          </xdr:sp>
          <xdr:sp macro="" textlink="">
            <xdr:nvSpPr>
              <xdr:cNvPr id="50" name="Oval 49">
                <a:extLst>
                  <a:ext uri="{FF2B5EF4-FFF2-40B4-BE49-F238E27FC236}">
                    <a16:creationId xmlns:a16="http://schemas.microsoft.com/office/drawing/2014/main" id="{4AC7933C-9ECE-5EC2-F46A-12BF841EB8E8}"/>
                  </a:ext>
                </a:extLst>
              </xdr:cNvPr>
              <xdr:cNvSpPr/>
            </xdr:nvSpPr>
            <xdr:spPr>
              <a:xfrm>
                <a:off x="10685399" y="6191951"/>
                <a:ext cx="108000" cy="108000"/>
              </a:xfrm>
              <a:prstGeom prst="ellipse">
                <a:avLst/>
              </a:prstGeom>
              <a:solidFill>
                <a:srgbClr val="C00000"/>
              </a:solidFill>
              <a:ln>
                <a:solidFill>
                  <a:srgbClr val="C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n-IN" sz="1200"/>
              </a:p>
            </xdr:txBody>
          </xdr:sp>
        </xdr:grpSp>
      </xdr:grpSp>
    </xdr:grpSp>
    <xdr:clientData/>
  </xdr:twoCellAnchor>
  <xdr:twoCellAnchor>
    <xdr:from>
      <xdr:col>14</xdr:col>
      <xdr:colOff>521491</xdr:colOff>
      <xdr:row>144</xdr:row>
      <xdr:rowOff>174050</xdr:rowOff>
    </xdr:from>
    <xdr:to>
      <xdr:col>18</xdr:col>
      <xdr:colOff>440529</xdr:colOff>
      <xdr:row>150</xdr:row>
      <xdr:rowOff>170441</xdr:rowOff>
    </xdr:to>
    <xdr:sp macro="" textlink="">
      <xdr:nvSpPr>
        <xdr:cNvPr id="53" name="TextBox 37">
          <a:extLst>
            <a:ext uri="{FF2B5EF4-FFF2-40B4-BE49-F238E27FC236}">
              <a16:creationId xmlns:a16="http://schemas.microsoft.com/office/drawing/2014/main" id="{CCEFD498-6545-485F-B250-E3CE7D431ED3}"/>
            </a:ext>
          </a:extLst>
        </xdr:cNvPr>
        <xdr:cNvSpPr txBox="1"/>
      </xdr:nvSpPr>
      <xdr:spPr>
        <a:xfrm>
          <a:off x="8820147" y="32356644"/>
          <a:ext cx="2347913" cy="1210828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Steady improvement in the productivity both at branch and employee level</a:t>
          </a:r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13</xdr:col>
      <xdr:colOff>228562</xdr:colOff>
      <xdr:row>138</xdr:row>
      <xdr:rowOff>91125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B7BD68D7-1F6C-4BF3-8580-2978D66C9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483391</xdr:colOff>
      <xdr:row>130</xdr:row>
      <xdr:rowOff>76419</xdr:rowOff>
    </xdr:from>
    <xdr:to>
      <xdr:col>18</xdr:col>
      <xdr:colOff>402429</xdr:colOff>
      <xdr:row>133</xdr:row>
      <xdr:rowOff>125692</xdr:rowOff>
    </xdr:to>
    <xdr:sp macro="" textlink="">
      <xdr:nvSpPr>
        <xdr:cNvPr id="57" name="TextBox 37">
          <a:extLst>
            <a:ext uri="{FF2B5EF4-FFF2-40B4-BE49-F238E27FC236}">
              <a16:creationId xmlns:a16="http://schemas.microsoft.com/office/drawing/2014/main" id="{37682D72-0AE0-4BD0-BE77-739BE17D5724}"/>
            </a:ext>
          </a:extLst>
        </xdr:cNvPr>
        <xdr:cNvSpPr txBox="1"/>
      </xdr:nvSpPr>
      <xdr:spPr>
        <a:xfrm>
          <a:off x="8782047" y="29425325"/>
          <a:ext cx="2347913" cy="656492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Endeavour to maintain spreads of ~5%</a:t>
          </a:r>
        </a:p>
      </xdr:txBody>
    </xdr:sp>
    <xdr:clientData/>
  </xdr:twoCellAnchor>
  <xdr:twoCellAnchor>
    <xdr:from>
      <xdr:col>0</xdr:col>
      <xdr:colOff>0</xdr:colOff>
      <xdr:row>156</xdr:row>
      <xdr:rowOff>0</xdr:rowOff>
    </xdr:from>
    <xdr:to>
      <xdr:col>6</xdr:col>
      <xdr:colOff>339094</xdr:colOff>
      <xdr:row>168</xdr:row>
      <xdr:rowOff>91125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5E57B194-D356-41CB-BE17-FFB2E54C2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476252</xdr:colOff>
      <xdr:row>156</xdr:row>
      <xdr:rowOff>11906</xdr:rowOff>
    </xdr:from>
    <xdr:to>
      <xdr:col>13</xdr:col>
      <xdr:colOff>5720</xdr:colOff>
      <xdr:row>168</xdr:row>
      <xdr:rowOff>67313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D74B41E0-4785-482E-95F5-F3E8F6DBC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423860</xdr:colOff>
      <xdr:row>157</xdr:row>
      <xdr:rowOff>100230</xdr:rowOff>
    </xdr:from>
    <xdr:to>
      <xdr:col>18</xdr:col>
      <xdr:colOff>342898</xdr:colOff>
      <xdr:row>162</xdr:row>
      <xdr:rowOff>21859</xdr:rowOff>
    </xdr:to>
    <xdr:sp macro="" textlink="">
      <xdr:nvSpPr>
        <xdr:cNvPr id="63" name="TextBox 37">
          <a:extLst>
            <a:ext uri="{FF2B5EF4-FFF2-40B4-BE49-F238E27FC236}">
              <a16:creationId xmlns:a16="http://schemas.microsoft.com/office/drawing/2014/main" id="{814B1997-FEBE-4422-AB3F-007733AF9971}"/>
            </a:ext>
          </a:extLst>
        </xdr:cNvPr>
        <xdr:cNvSpPr txBox="1"/>
      </xdr:nvSpPr>
      <xdr:spPr>
        <a:xfrm>
          <a:off x="8722516" y="34914105"/>
          <a:ext cx="2347913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Significant reduction in Opex/Total &amp; Opex/AuM</a:t>
          </a:r>
        </a:p>
      </xdr:txBody>
    </xdr:sp>
    <xdr:clientData/>
  </xdr:twoCellAnchor>
  <xdr:twoCellAnchor>
    <xdr:from>
      <xdr:col>0</xdr:col>
      <xdr:colOff>0</xdr:colOff>
      <xdr:row>171</xdr:row>
      <xdr:rowOff>119062</xdr:rowOff>
    </xdr:from>
    <xdr:to>
      <xdr:col>6</xdr:col>
      <xdr:colOff>339094</xdr:colOff>
      <xdr:row>184</xdr:row>
      <xdr:rowOff>7781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E0CC5277-B0E9-489C-AE22-8AAA30F09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571501</xdr:colOff>
      <xdr:row>171</xdr:row>
      <xdr:rowOff>142874</xdr:rowOff>
    </xdr:from>
    <xdr:to>
      <xdr:col>13</xdr:col>
      <xdr:colOff>100969</xdr:colOff>
      <xdr:row>184</xdr:row>
      <xdr:rowOff>31593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C4B3E62A-A575-41E3-AB11-52974BD7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421480</xdr:colOff>
      <xdr:row>173</xdr:row>
      <xdr:rowOff>193099</xdr:rowOff>
    </xdr:from>
    <xdr:to>
      <xdr:col>18</xdr:col>
      <xdr:colOff>340518</xdr:colOff>
      <xdr:row>178</xdr:row>
      <xdr:rowOff>114728</xdr:rowOff>
    </xdr:to>
    <xdr:sp macro="" textlink="">
      <xdr:nvSpPr>
        <xdr:cNvPr id="66" name="TextBox 37">
          <a:extLst>
            <a:ext uri="{FF2B5EF4-FFF2-40B4-BE49-F238E27FC236}">
              <a16:creationId xmlns:a16="http://schemas.microsoft.com/office/drawing/2014/main" id="{7D5D3B2D-86A9-4DD5-834E-22FBA64A3E54}"/>
            </a:ext>
          </a:extLst>
        </xdr:cNvPr>
        <xdr:cNvSpPr txBox="1"/>
      </xdr:nvSpPr>
      <xdr:spPr>
        <a:xfrm>
          <a:off x="8720136" y="38245474"/>
          <a:ext cx="2347913" cy="933660"/>
        </a:xfrm>
        <a:prstGeom prst="roundRect">
          <a:avLst/>
        </a:prstGeom>
        <a:solidFill>
          <a:srgbClr val="D2DFF0"/>
        </a:solidFill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IN" sz="1600" b="1" baseline="0">
              <a:solidFill>
                <a:srgbClr val="293895"/>
              </a:solidFill>
              <a:latin typeface="Aptos" panose="020B0004020202020204" pitchFamily="34" charset="0"/>
              <a:cs typeface="Iskoola Pota" panose="020B0502040204020203" pitchFamily="34" charset="0"/>
            </a:rPr>
            <a:t>Consistent profitability across cycles</a:t>
          </a:r>
        </a:p>
      </xdr:txBody>
    </xdr:sp>
    <xdr:clientData/>
  </xdr:twoCellAnchor>
  <xdr:twoCellAnchor>
    <xdr:from>
      <xdr:col>0</xdr:col>
      <xdr:colOff>0</xdr:colOff>
      <xdr:row>187</xdr:row>
      <xdr:rowOff>83344</xdr:rowOff>
    </xdr:from>
    <xdr:to>
      <xdr:col>6</xdr:col>
      <xdr:colOff>339094</xdr:colOff>
      <xdr:row>200</xdr:row>
      <xdr:rowOff>195263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3B3A6AD-80C7-425F-874E-1448CA63A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547687</xdr:colOff>
      <xdr:row>186</xdr:row>
      <xdr:rowOff>11906</xdr:rowOff>
    </xdr:from>
    <xdr:to>
      <xdr:col>13</xdr:col>
      <xdr:colOff>77155</xdr:colOff>
      <xdr:row>202</xdr:row>
      <xdr:rowOff>11906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615F840D-0BCA-737F-53CF-AB1AAB52F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</xdr:colOff>
      <xdr:row>106</xdr:row>
      <xdr:rowOff>83344</xdr:rowOff>
    </xdr:from>
    <xdr:to>
      <xdr:col>7</xdr:col>
      <xdr:colOff>404811</xdr:colOff>
      <xdr:row>124</xdr:row>
      <xdr:rowOff>40031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42367E-08B6-4748-ACA0-28B0D49A7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B71"/>
  <sheetViews>
    <sheetView showGridLines="0" tabSelected="1" zoomScale="80" zoomScaleNormal="80" workbookViewId="0"/>
  </sheetViews>
  <sheetFormatPr defaultRowHeight="15.75" x14ac:dyDescent="0.25"/>
  <cols>
    <col min="1" max="1" width="5.5703125" style="395" customWidth="1"/>
    <col min="2" max="2" width="61.42578125" style="395" bestFit="1" customWidth="1"/>
    <col min="3" max="16384" width="9.140625" style="395"/>
  </cols>
  <sheetData>
    <row r="10" spans="1:2" x14ac:dyDescent="0.25">
      <c r="A10" s="400">
        <v>1</v>
      </c>
      <c r="B10" s="401" t="s">
        <v>245</v>
      </c>
    </row>
    <row r="11" spans="1:2" x14ac:dyDescent="0.25">
      <c r="A11" s="400">
        <f>+A10+1</f>
        <v>2</v>
      </c>
      <c r="B11" s="401" t="s">
        <v>242</v>
      </c>
    </row>
    <row r="12" spans="1:2" x14ac:dyDescent="0.25">
      <c r="A12" s="400">
        <f>+A11+1</f>
        <v>3</v>
      </c>
      <c r="B12" s="401" t="s">
        <v>246</v>
      </c>
    </row>
    <row r="13" spans="1:2" x14ac:dyDescent="0.25">
      <c r="A13" s="400">
        <f t="shared" ref="A13:A15" si="0">+A12+1</f>
        <v>4</v>
      </c>
      <c r="B13" s="401" t="s">
        <v>247</v>
      </c>
    </row>
    <row r="14" spans="1:2" x14ac:dyDescent="0.25">
      <c r="A14" s="400">
        <f t="shared" si="0"/>
        <v>5</v>
      </c>
      <c r="B14" s="401" t="s">
        <v>254</v>
      </c>
    </row>
    <row r="15" spans="1:2" x14ac:dyDescent="0.25">
      <c r="A15" s="400">
        <f t="shared" si="0"/>
        <v>6</v>
      </c>
      <c r="B15" s="401" t="s">
        <v>243</v>
      </c>
    </row>
    <row r="16" spans="1:2" x14ac:dyDescent="0.25">
      <c r="A16" s="400">
        <v>7</v>
      </c>
      <c r="B16" s="401" t="s">
        <v>244</v>
      </c>
    </row>
    <row r="18" spans="2:2" x14ac:dyDescent="0.25">
      <c r="B18" s="395" t="s">
        <v>248</v>
      </c>
    </row>
    <row r="71" spans="2:2" x14ac:dyDescent="0.25">
      <c r="B71" s="395" t="s">
        <v>249</v>
      </c>
    </row>
  </sheetData>
  <hyperlinks>
    <hyperlink ref="B10" location="'P&amp;L'!A1" display="Profit &amp; Loss Statement" xr:uid="{00000000-0004-0000-0000-000000000000}"/>
    <hyperlink ref="B11" location="BS!A1" display="Balance Sheet" xr:uid="{00000000-0004-0000-0000-000001000000}"/>
    <hyperlink ref="B12" location="Operational!A1" display="Operational Data" xr:uid="{00000000-0004-0000-0000-000002000000}"/>
    <hyperlink ref="B13" location="'Credit Quality'!A1" display="Credit Quality" xr:uid="{00000000-0004-0000-0000-000003000000}"/>
    <hyperlink ref="B14" location="'Yields, Margins &amp; Ratios'!A1" display="Yields, Margins &amp; Ratios" xr:uid="{00000000-0004-0000-0000-000004000000}"/>
    <hyperlink ref="B15" location="Liabilities!A1" display="Liabilities" xr:uid="{00000000-0004-0000-0000-000005000000}"/>
    <hyperlink ref="A10" location="'P&amp;L'!A1" display="'P&amp;L'!A1" xr:uid="{00000000-0004-0000-0000-000006000000}"/>
    <hyperlink ref="A11" location="BS!A1" display="BS!A1" xr:uid="{00000000-0004-0000-0000-000007000000}"/>
    <hyperlink ref="A12" location="Operational!A1" display="Operational!A1" xr:uid="{00000000-0004-0000-0000-000008000000}"/>
    <hyperlink ref="A13" location="'Credit Quality'!A1" display="'Credit Quality'!A1" xr:uid="{00000000-0004-0000-0000-000009000000}"/>
    <hyperlink ref="A14" location="'Yields, Margins &amp; Ratios'!A1" display="'Yields, Margins &amp; Ratios'!A1" xr:uid="{00000000-0004-0000-0000-00000A000000}"/>
    <hyperlink ref="A15" location="Liabilities!A1" display="Liabilities!A1" xr:uid="{00000000-0004-0000-0000-00000B000000}"/>
    <hyperlink ref="A16" location="'Story in Charts'!A1" display="'Story in Charts'!A1" xr:uid="{C3172913-AD90-430D-AA66-7B6B126FAF22}"/>
    <hyperlink ref="B16" location="'Story in Charts'!A1" display="Story in Charts" xr:uid="{103B5583-6A9C-43DF-A069-89B746F13DDF}"/>
  </hyperlinks>
  <pageMargins left="0.7" right="0.7" top="0.75" bottom="0.75" header="0.3" footer="0.3"/>
  <pageSetup orientation="landscape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8506C-AD1F-4659-A440-1E7D71B2EE11}">
  <dimension ref="A1:Q75"/>
  <sheetViews>
    <sheetView zoomScale="110" zoomScaleNormal="109" workbookViewId="0">
      <selection activeCell="B8" sqref="B8"/>
    </sheetView>
  </sheetViews>
  <sheetFormatPr defaultColWidth="7.85546875" defaultRowHeight="15" x14ac:dyDescent="0.25"/>
  <cols>
    <col min="1" max="1" width="22.28515625" style="393" bestFit="1" customWidth="1"/>
    <col min="2" max="6" width="10.85546875" bestFit="1" customWidth="1"/>
    <col min="7" max="7" width="11.5703125" bestFit="1" customWidth="1"/>
    <col min="8" max="13" width="8" bestFit="1" customWidth="1"/>
    <col min="14" max="15" width="9.5703125" bestFit="1" customWidth="1"/>
  </cols>
  <sheetData>
    <row r="1" spans="1:17" x14ac:dyDescent="0.25">
      <c r="B1" t="str">
        <f>+Operational!G3</f>
        <v>Q1FY23</v>
      </c>
      <c r="C1" t="str">
        <f>+Operational!H3</f>
        <v>Q2FY23</v>
      </c>
      <c r="D1" t="str">
        <f>+Operational!I3</f>
        <v>Q3FY23</v>
      </c>
      <c r="E1" t="str">
        <f>+Operational!J3</f>
        <v>Q4FY23</v>
      </c>
      <c r="F1" t="str">
        <f>+Operational!K3</f>
        <v>Q1FY24</v>
      </c>
      <c r="G1" t="str">
        <f>+Operational!L3</f>
        <v>Q2FY24</v>
      </c>
      <c r="H1" t="str">
        <f>+Operational!M3</f>
        <v>Q3FY24</v>
      </c>
      <c r="I1" t="str">
        <f>+Operational!N3</f>
        <v>Q4FY24</v>
      </c>
      <c r="J1" t="str">
        <f>+Operational!O3</f>
        <v>Q1FY25</v>
      </c>
      <c r="K1" t="str">
        <f>+Operational!P3</f>
        <v>Q2FY25</v>
      </c>
      <c r="L1" t="str">
        <f>+Operational!Q3</f>
        <v>Q3FY25</v>
      </c>
      <c r="M1" t="str">
        <f>+Operational!R3</f>
        <v>Q4FY25</v>
      </c>
    </row>
    <row r="2" spans="1:17" x14ac:dyDescent="0.25">
      <c r="A2" s="393" t="s">
        <v>202</v>
      </c>
      <c r="B2" s="391">
        <v>0.23690115675775369</v>
      </c>
      <c r="C2" s="391">
        <v>0.23605860107502719</v>
      </c>
      <c r="D2" s="391">
        <v>0.23331758990365592</v>
      </c>
      <c r="E2" s="391">
        <v>0.2481407222198142</v>
      </c>
      <c r="F2" s="391">
        <v>0.23175908084914787</v>
      </c>
      <c r="G2" s="391">
        <v>0.22128970454539232</v>
      </c>
      <c r="H2" s="391">
        <v>0.22849778803937459</v>
      </c>
      <c r="I2" s="391">
        <v>0.22206959591175046</v>
      </c>
      <c r="J2" s="391">
        <v>0.21784600176411817</v>
      </c>
      <c r="K2" s="391">
        <v>0.20079905697925926</v>
      </c>
      <c r="L2" s="391">
        <v>0.19643487087662082</v>
      </c>
      <c r="M2" s="391">
        <f>Operational!R4/Operational!N4-1</f>
        <v>0.17949476027813782</v>
      </c>
    </row>
    <row r="3" spans="1:17" x14ac:dyDescent="0.25">
      <c r="A3" s="393" t="s">
        <v>203</v>
      </c>
      <c r="B3" s="391">
        <v>1.3646519725473243</v>
      </c>
      <c r="C3" s="391">
        <v>0.27182698898149682</v>
      </c>
      <c r="D3" s="391">
        <v>0.2645032660358082</v>
      </c>
      <c r="E3" s="391">
        <v>0.22883711039381693</v>
      </c>
      <c r="F3" s="391">
        <v>-2.3239823748472777E-2</v>
      </c>
      <c r="G3" s="391">
        <v>9.7420686821386049E-2</v>
      </c>
      <c r="H3" s="391">
        <v>0.13307422133586755</v>
      </c>
      <c r="I3" s="391">
        <v>0.19684666361415171</v>
      </c>
      <c r="J3" s="391">
        <v>0.13359290391920986</v>
      </c>
      <c r="K3" s="391">
        <v>2.8019948193390931E-2</v>
      </c>
      <c r="L3" s="391">
        <v>0.17013409377285638</v>
      </c>
      <c r="M3" s="391">
        <f>Operational!R5/Operational!N5-1</f>
        <v>6.9051655896494646E-2</v>
      </c>
    </row>
    <row r="5" spans="1:17" x14ac:dyDescent="0.25">
      <c r="A5" s="393" t="s">
        <v>193</v>
      </c>
      <c r="B5" t="s">
        <v>194</v>
      </c>
      <c r="C5" t="s">
        <v>196</v>
      </c>
      <c r="D5" t="s">
        <v>197</v>
      </c>
      <c r="E5" t="s">
        <v>198</v>
      </c>
      <c r="F5" t="s">
        <v>199</v>
      </c>
      <c r="G5" t="s">
        <v>200</v>
      </c>
      <c r="H5" t="s">
        <v>201</v>
      </c>
      <c r="I5" t="s">
        <v>6</v>
      </c>
      <c r="J5" t="s">
        <v>7</v>
      </c>
      <c r="K5" t="s">
        <v>8</v>
      </c>
      <c r="L5" t="s">
        <v>9</v>
      </c>
      <c r="M5" t="s">
        <v>10</v>
      </c>
      <c r="N5" t="s">
        <v>98</v>
      </c>
      <c r="O5" t="s">
        <v>239</v>
      </c>
    </row>
    <row r="6" spans="1:17" x14ac:dyDescent="0.25">
      <c r="A6" s="393" t="s">
        <v>192</v>
      </c>
      <c r="B6" t="s">
        <v>195</v>
      </c>
      <c r="C6">
        <v>1.8</v>
      </c>
      <c r="D6">
        <v>4.0999999999999996</v>
      </c>
      <c r="E6">
        <v>8.4</v>
      </c>
      <c r="F6">
        <v>16.8</v>
      </c>
      <c r="G6">
        <v>26.9</v>
      </c>
      <c r="H6">
        <v>40.700000000000003</v>
      </c>
      <c r="I6">
        <v>59.4</v>
      </c>
      <c r="J6">
        <v>78</v>
      </c>
      <c r="K6">
        <v>94.5</v>
      </c>
      <c r="L6">
        <v>113.5</v>
      </c>
      <c r="M6">
        <v>141.69999999999999</v>
      </c>
      <c r="N6">
        <v>173.1</v>
      </c>
      <c r="O6" s="448">
        <f>Operational!R4/1000</f>
        <v>204.20176000000001</v>
      </c>
      <c r="Q6" s="391">
        <f>+POWER(O6/C6,1/12.75)-1</f>
        <v>0.44930490761109221</v>
      </c>
    </row>
    <row r="7" spans="1:17" x14ac:dyDescent="0.25">
      <c r="Q7" s="391"/>
    </row>
    <row r="8" spans="1:17" x14ac:dyDescent="0.25">
      <c r="B8" t="str">
        <f t="shared" ref="B8:M8" si="0">+B1</f>
        <v>Q1FY23</v>
      </c>
      <c r="C8" t="str">
        <f t="shared" si="0"/>
        <v>Q2FY23</v>
      </c>
      <c r="D8" t="str">
        <f t="shared" si="0"/>
        <v>Q3FY23</v>
      </c>
      <c r="E8" t="str">
        <f t="shared" si="0"/>
        <v>Q4FY23</v>
      </c>
      <c r="F8" t="str">
        <f t="shared" si="0"/>
        <v>Q1FY24</v>
      </c>
      <c r="G8" t="str">
        <f t="shared" si="0"/>
        <v>Q2FY24</v>
      </c>
      <c r="H8" t="str">
        <f t="shared" si="0"/>
        <v>Q3FY24</v>
      </c>
      <c r="I8" t="str">
        <f t="shared" si="0"/>
        <v>Q4FY24</v>
      </c>
      <c r="J8" t="str">
        <f t="shared" si="0"/>
        <v>Q1FY25</v>
      </c>
      <c r="K8" t="str">
        <f t="shared" si="0"/>
        <v>Q2FY25</v>
      </c>
      <c r="L8" t="str">
        <f t="shared" si="0"/>
        <v>Q3FY25</v>
      </c>
      <c r="M8" t="str">
        <f t="shared" si="0"/>
        <v>Q4FY25</v>
      </c>
      <c r="N8" t="s">
        <v>252</v>
      </c>
    </row>
    <row r="9" spans="1:17" x14ac:dyDescent="0.25">
      <c r="A9" s="393" t="s">
        <v>129</v>
      </c>
      <c r="B9" s="392">
        <f>+Operational!G7</f>
        <v>0.71099999999999997</v>
      </c>
      <c r="C9" s="392">
        <f>+Operational!H7</f>
        <v>0.70879999999999999</v>
      </c>
      <c r="D9" s="392">
        <f>+Operational!I7</f>
        <v>0.70109999999999995</v>
      </c>
      <c r="E9" s="392">
        <f>+Operational!J7</f>
        <v>0.69910000000000005</v>
      </c>
      <c r="F9" s="392">
        <f>+Operational!K7</f>
        <v>0.69799999999999995</v>
      </c>
      <c r="G9" s="392">
        <f>+Operational!L7</f>
        <v>0.69699999999999995</v>
      </c>
      <c r="H9" s="392">
        <f>+Operational!M7</f>
        <v>0.69299999999999995</v>
      </c>
      <c r="I9" s="392">
        <f>+Operational!N7</f>
        <v>0.69299999999999995</v>
      </c>
      <c r="J9" s="392">
        <f>+Operational!O7</f>
        <v>0.69199999999999995</v>
      </c>
      <c r="K9" s="392">
        <f>+Operational!P7</f>
        <v>0.69</v>
      </c>
      <c r="L9" s="392">
        <f>+Operational!Q7</f>
        <v>0.68608960168096667</v>
      </c>
      <c r="M9" s="392">
        <f>+Operational!R7</f>
        <v>0.67970122685040646</v>
      </c>
      <c r="N9" s="392">
        <v>0.67459992188893758</v>
      </c>
    </row>
    <row r="10" spans="1:17" x14ac:dyDescent="0.25">
      <c r="A10" s="393" t="s">
        <v>204</v>
      </c>
      <c r="B10" s="392">
        <f>+Operational!G9</f>
        <v>7.6100000000000001E-2</v>
      </c>
      <c r="C10" s="392">
        <f>+Operational!H9</f>
        <v>9.4299999999999995E-2</v>
      </c>
      <c r="D10" s="392">
        <f>+Operational!I9</f>
        <v>0.1</v>
      </c>
      <c r="E10" s="392">
        <f>+Operational!J9</f>
        <v>0.1041</v>
      </c>
      <c r="F10" s="392">
        <f>+Operational!K9</f>
        <v>0.104</v>
      </c>
      <c r="G10" s="392">
        <f>+Operational!L9</f>
        <v>0.12</v>
      </c>
      <c r="H10" s="392">
        <f>+Operational!M9</f>
        <v>0.13200000000000001</v>
      </c>
      <c r="I10" s="392">
        <f>+Operational!N9</f>
        <v>0.17</v>
      </c>
      <c r="J10" s="392">
        <f>+Operational!O9</f>
        <v>0.17299999999999999</v>
      </c>
      <c r="K10" s="392">
        <f>+Operational!P9</f>
        <v>0.17899999999999999</v>
      </c>
      <c r="L10" s="392">
        <f>+Operational!Q9</f>
        <v>0.18404745695075322</v>
      </c>
      <c r="M10" s="392">
        <f>+Operational!R9</f>
        <v>0.192</v>
      </c>
      <c r="N10" s="392">
        <v>0.19752937602761853</v>
      </c>
    </row>
    <row r="11" spans="1:17" x14ac:dyDescent="0.25">
      <c r="A11" s="393" t="s">
        <v>205</v>
      </c>
      <c r="B11" s="392">
        <f>+Operational!G10</f>
        <v>0.21290000000000009</v>
      </c>
      <c r="C11" s="392">
        <f>+Operational!H10</f>
        <v>0.19690000000000007</v>
      </c>
      <c r="D11" s="392">
        <f>+Operational!I10</f>
        <v>0.19890000000000008</v>
      </c>
      <c r="E11" s="392">
        <f>+Operational!J10</f>
        <v>0.19679999999999997</v>
      </c>
      <c r="F11" s="392">
        <f>+Operational!K10</f>
        <v>0.19800000000000006</v>
      </c>
      <c r="G11" s="392">
        <f>+Operational!L10</f>
        <v>0.18300000000000005</v>
      </c>
      <c r="H11" s="392">
        <f>+Operational!M10</f>
        <v>0.17500000000000004</v>
      </c>
      <c r="I11" s="392">
        <f>+Operational!N10</f>
        <v>0.13700000000000001</v>
      </c>
      <c r="J11" s="392">
        <f>+Operational!O10</f>
        <v>0.13500000000000001</v>
      </c>
      <c r="K11" s="392">
        <f>+Operational!P10</f>
        <v>0.13100000000000001</v>
      </c>
      <c r="L11" s="392">
        <f>+Operational!Q10</f>
        <v>0.12986294136828039</v>
      </c>
      <c r="M11" s="392">
        <f>+Operational!R10</f>
        <v>0.128</v>
      </c>
      <c r="N11" s="392">
        <v>0.12787552375395977</v>
      </c>
    </row>
    <row r="13" spans="1:17" x14ac:dyDescent="0.25">
      <c r="B13" t="str">
        <f t="shared" ref="B13:N13" si="1">+C5</f>
        <v>FY13</v>
      </c>
      <c r="C13" t="str">
        <f t="shared" si="1"/>
        <v>FY14</v>
      </c>
      <c r="D13" t="str">
        <f t="shared" si="1"/>
        <v>FY15</v>
      </c>
      <c r="E13" t="str">
        <f t="shared" si="1"/>
        <v>FY16</v>
      </c>
      <c r="F13" t="str">
        <f t="shared" si="1"/>
        <v>FY17</v>
      </c>
      <c r="G13" t="str">
        <f t="shared" si="1"/>
        <v>FY18</v>
      </c>
      <c r="H13" t="str">
        <f t="shared" si="1"/>
        <v>FY19</v>
      </c>
      <c r="I13" t="str">
        <f t="shared" si="1"/>
        <v>FY20</v>
      </c>
      <c r="J13" t="str">
        <f t="shared" si="1"/>
        <v>FY21</v>
      </c>
      <c r="K13" t="str">
        <f t="shared" si="1"/>
        <v>FY22</v>
      </c>
      <c r="L13" t="str">
        <f t="shared" si="1"/>
        <v>FY23</v>
      </c>
      <c r="M13" t="str">
        <f t="shared" si="1"/>
        <v>FY24</v>
      </c>
      <c r="N13" t="str">
        <f t="shared" si="1"/>
        <v>FY25</v>
      </c>
    </row>
    <row r="14" spans="1:17" x14ac:dyDescent="0.25">
      <c r="A14" s="393" t="s">
        <v>212</v>
      </c>
      <c r="B14">
        <v>25</v>
      </c>
      <c r="C14">
        <v>35</v>
      </c>
      <c r="D14">
        <v>42</v>
      </c>
      <c r="E14">
        <v>44</v>
      </c>
      <c r="F14">
        <v>94</v>
      </c>
      <c r="G14">
        <v>165</v>
      </c>
      <c r="H14">
        <f>+Operational!U56</f>
        <v>210</v>
      </c>
      <c r="I14">
        <f>+Operational!V56</f>
        <v>250</v>
      </c>
      <c r="J14">
        <f>+Operational!W56</f>
        <v>280</v>
      </c>
      <c r="K14">
        <f>+Operational!X56</f>
        <v>314</v>
      </c>
      <c r="L14">
        <f>+Operational!Y56</f>
        <v>346</v>
      </c>
      <c r="M14">
        <f>+Operational!Z56</f>
        <v>367</v>
      </c>
      <c r="N14">
        <f>+Operational!AA56</f>
        <v>397</v>
      </c>
    </row>
    <row r="15" spans="1:17" x14ac:dyDescent="0.25">
      <c r="A15" s="393" t="s">
        <v>214</v>
      </c>
      <c r="C15">
        <f t="shared" ref="C15:N15" si="2">+C14-B14</f>
        <v>10</v>
      </c>
      <c r="D15">
        <f t="shared" si="2"/>
        <v>7</v>
      </c>
      <c r="E15">
        <f t="shared" si="2"/>
        <v>2</v>
      </c>
      <c r="F15">
        <f t="shared" si="2"/>
        <v>50</v>
      </c>
      <c r="G15">
        <f t="shared" si="2"/>
        <v>71</v>
      </c>
      <c r="H15">
        <f t="shared" si="2"/>
        <v>45</v>
      </c>
      <c r="I15">
        <f t="shared" si="2"/>
        <v>40</v>
      </c>
      <c r="J15">
        <f t="shared" si="2"/>
        <v>30</v>
      </c>
      <c r="K15">
        <f t="shared" si="2"/>
        <v>34</v>
      </c>
      <c r="L15">
        <f t="shared" si="2"/>
        <v>32</v>
      </c>
      <c r="M15">
        <f t="shared" si="2"/>
        <v>21</v>
      </c>
      <c r="N15">
        <f t="shared" si="2"/>
        <v>30</v>
      </c>
    </row>
    <row r="16" spans="1:17" x14ac:dyDescent="0.25">
      <c r="A16" s="393" t="s">
        <v>213</v>
      </c>
      <c r="G16">
        <v>8</v>
      </c>
      <c r="H16">
        <v>10</v>
      </c>
      <c r="I16">
        <v>10</v>
      </c>
      <c r="J16">
        <v>11</v>
      </c>
      <c r="K16">
        <v>13</v>
      </c>
      <c r="L16">
        <v>13</v>
      </c>
      <c r="M16">
        <v>13</v>
      </c>
      <c r="N16">
        <v>14</v>
      </c>
    </row>
    <row r="19" spans="1:15" x14ac:dyDescent="0.25">
      <c r="A19" s="393" t="s">
        <v>193</v>
      </c>
      <c r="B19" t="s">
        <v>201</v>
      </c>
      <c r="C19" t="s">
        <v>6</v>
      </c>
      <c r="D19" t="s">
        <v>7</v>
      </c>
      <c r="E19" t="s">
        <v>8</v>
      </c>
      <c r="F19" t="s">
        <v>9</v>
      </c>
      <c r="G19" t="s">
        <v>10</v>
      </c>
      <c r="H19" t="s">
        <v>98</v>
      </c>
      <c r="I19" t="s">
        <v>239</v>
      </c>
    </row>
    <row r="20" spans="1:15" x14ac:dyDescent="0.25">
      <c r="A20" s="393" t="s">
        <v>208</v>
      </c>
      <c r="B20" s="391">
        <v>0.97199999999999998</v>
      </c>
      <c r="C20" s="391">
        <f>+SUM(Operational!U30:U34)</f>
        <v>0.94600000000000006</v>
      </c>
      <c r="D20" s="391">
        <f>+SUM(Operational!V30:V34)</f>
        <v>0.92200000000000004</v>
      </c>
      <c r="E20" s="391">
        <f>+SUM(Operational!W30:W34)</f>
        <v>0.90500000000000014</v>
      </c>
      <c r="F20" s="391">
        <f>+SUM(Operational!X30:X34)</f>
        <v>0.89300000000000002</v>
      </c>
      <c r="G20" s="391">
        <f>+SUM(Operational!Y30:Y34)</f>
        <v>0.87300000000000011</v>
      </c>
      <c r="H20" s="391">
        <f>+SUM(Operational!Z30:Z34)</f>
        <v>0.85099999999999998</v>
      </c>
      <c r="I20" s="391">
        <f>+SUM(Operational!AA30:AA34)</f>
        <v>0.8304324447678717</v>
      </c>
    </row>
    <row r="21" spans="1:15" x14ac:dyDescent="0.25">
      <c r="A21" s="393" t="s">
        <v>209</v>
      </c>
      <c r="B21" s="391">
        <f>100%-B20</f>
        <v>2.8000000000000025E-2</v>
      </c>
      <c r="C21" s="391">
        <f t="shared" ref="C21:I21" si="3">100%-C20</f>
        <v>5.3999999999999937E-2</v>
      </c>
      <c r="D21" s="391">
        <f t="shared" si="3"/>
        <v>7.7999999999999958E-2</v>
      </c>
      <c r="E21" s="391">
        <f t="shared" si="3"/>
        <v>9.4999999999999862E-2</v>
      </c>
      <c r="F21" s="391">
        <f t="shared" si="3"/>
        <v>0.10699999999999998</v>
      </c>
      <c r="G21" s="391">
        <f t="shared" si="3"/>
        <v>0.12699999999999989</v>
      </c>
      <c r="H21" s="391">
        <f t="shared" si="3"/>
        <v>0.14900000000000002</v>
      </c>
      <c r="I21" s="391">
        <f t="shared" si="3"/>
        <v>0.1695675552321283</v>
      </c>
    </row>
    <row r="23" spans="1:15" x14ac:dyDescent="0.25">
      <c r="B23" t="str">
        <f>+C19</f>
        <v>FY19</v>
      </c>
      <c r="C23" t="str">
        <f t="shared" ref="C23:H23" si="4">+D19</f>
        <v>FY20</v>
      </c>
      <c r="D23" t="str">
        <f t="shared" si="4"/>
        <v>FY21</v>
      </c>
      <c r="E23" t="str">
        <f t="shared" si="4"/>
        <v>FY22</v>
      </c>
      <c r="F23" t="str">
        <f t="shared" si="4"/>
        <v>FY23</v>
      </c>
      <c r="G23" t="str">
        <f t="shared" si="4"/>
        <v>FY24</v>
      </c>
      <c r="H23" t="str">
        <f t="shared" si="4"/>
        <v>FY25</v>
      </c>
    </row>
    <row r="24" spans="1:15" x14ac:dyDescent="0.25">
      <c r="A24" s="393" t="s">
        <v>218</v>
      </c>
      <c r="B24" s="397">
        <f>+'Credit Quality'!U8</f>
        <v>3.4299999999999997E-2</v>
      </c>
      <c r="C24" s="397">
        <f>+'Credit Quality'!V8</f>
        <v>2.4299999999999999E-2</v>
      </c>
      <c r="D24" s="397">
        <f>+'Credit Quality'!W8</f>
        <v>6.3700000000000007E-2</v>
      </c>
      <c r="E24" s="397">
        <f>+'Credit Quality'!X8</f>
        <v>4.4699999999999997E-2</v>
      </c>
      <c r="F24" s="397">
        <f>+'Credit Quality'!Y8</f>
        <v>3.301213985249235E-2</v>
      </c>
      <c r="G24" s="397">
        <f>+'Credit Quality'!Z8</f>
        <v>3.1199999999999999E-2</v>
      </c>
      <c r="H24" s="397">
        <f>+'Credit Quality'!AA8</f>
        <v>3.39E-2</v>
      </c>
    </row>
    <row r="25" spans="1:15" x14ac:dyDescent="0.25">
      <c r="A25" s="393" t="s">
        <v>216</v>
      </c>
      <c r="B25" s="397">
        <f>+'Credit Quality'!U6</f>
        <v>4.7000000000000002E-3</v>
      </c>
      <c r="C25" s="397">
        <f>+'Credit Quality'!V6</f>
        <v>4.5999999999999999E-3</v>
      </c>
      <c r="D25" s="397">
        <f>+'Credit Quality'!W6</f>
        <v>9.7999999999999997E-3</v>
      </c>
      <c r="E25" s="397">
        <f>+'Credit Quality'!X6</f>
        <v>9.9000000000000008E-3</v>
      </c>
      <c r="F25" s="397">
        <f>+'Credit Quality'!Y6</f>
        <v>9.2388934184662388E-3</v>
      </c>
      <c r="G25" s="397">
        <f>+'Credit Quality'!Z6</f>
        <v>9.3587917321395798E-3</v>
      </c>
      <c r="H25" s="397">
        <f>+'Credit Quality'!AA6</f>
        <v>1.0793816651892411E-2</v>
      </c>
    </row>
    <row r="26" spans="1:15" x14ac:dyDescent="0.25">
      <c r="A26" s="393" t="s">
        <v>217</v>
      </c>
      <c r="B26" s="397">
        <f>+'Credit Quality'!U7</f>
        <v>3.7000000000000002E-3</v>
      </c>
      <c r="C26" s="397">
        <f>+'Credit Quality'!V7</f>
        <v>3.3999999999999998E-3</v>
      </c>
      <c r="D26" s="397">
        <f>+'Credit Quality'!W7</f>
        <v>7.1000000000000004E-3</v>
      </c>
      <c r="E26" s="397">
        <f>+'Credit Quality'!X7</f>
        <v>7.7000000000000002E-3</v>
      </c>
      <c r="F26" s="397">
        <f>+'Credit Quality'!Y7</f>
        <v>6.7952650428141602E-3</v>
      </c>
      <c r="G26" s="397">
        <f>+'Credit Quality'!Z7</f>
        <v>6.702634534052186E-3</v>
      </c>
      <c r="H26" s="397">
        <f>+'Credit Quality'!AA7</f>
        <v>7.3412504947023517E-3</v>
      </c>
    </row>
    <row r="27" spans="1:15" x14ac:dyDescent="0.25">
      <c r="A27" s="393" t="s">
        <v>12</v>
      </c>
      <c r="B27" s="397">
        <f>+'Credit Quality'!U9</f>
        <v>1.8408488522229029E-3</v>
      </c>
      <c r="C27" s="397">
        <f>+'Credit Quality'!V9</f>
        <v>2.309057585792044E-3</v>
      </c>
      <c r="D27" s="397">
        <f>+'Credit Quality'!W9</f>
        <v>4.4696554742849649E-3</v>
      </c>
      <c r="E27" s="397">
        <f>+'Credit Quality'!X9</f>
        <v>2.2627339472700491E-3</v>
      </c>
      <c r="F27" s="397">
        <f>+'Credit Quality'!Y9</f>
        <v>1.0169405683210333E-3</v>
      </c>
      <c r="G27" s="397">
        <f>+'Credit Quality'!Z9</f>
        <v>1.635399273453449E-3</v>
      </c>
      <c r="H27" s="397">
        <f>+'Credit Quality'!AA9</f>
        <v>1.5438764816289043E-3</v>
      </c>
    </row>
    <row r="31" spans="1:15" x14ac:dyDescent="0.25">
      <c r="B31" t="str">
        <f t="shared" ref="B31:O31" si="5">+B5</f>
        <v>FY12</v>
      </c>
      <c r="C31" t="str">
        <f t="shared" si="5"/>
        <v>FY13</v>
      </c>
      <c r="D31" t="str">
        <f t="shared" si="5"/>
        <v>FY14</v>
      </c>
      <c r="E31" t="str">
        <f t="shared" si="5"/>
        <v>FY15</v>
      </c>
      <c r="F31" t="str">
        <f t="shared" si="5"/>
        <v>FY16</v>
      </c>
      <c r="G31" t="str">
        <f t="shared" si="5"/>
        <v>FY17</v>
      </c>
      <c r="H31" t="str">
        <f t="shared" si="5"/>
        <v>FY18</v>
      </c>
      <c r="I31" t="str">
        <f t="shared" si="5"/>
        <v>FY19</v>
      </c>
      <c r="J31" t="str">
        <f t="shared" si="5"/>
        <v>FY20</v>
      </c>
      <c r="K31" t="str">
        <f t="shared" si="5"/>
        <v>FY21</v>
      </c>
      <c r="L31" t="str">
        <f t="shared" si="5"/>
        <v>FY22</v>
      </c>
      <c r="M31" t="str">
        <f t="shared" si="5"/>
        <v>FY23</v>
      </c>
      <c r="N31" t="str">
        <f t="shared" si="5"/>
        <v>FY24</v>
      </c>
      <c r="O31" t="str">
        <f t="shared" si="5"/>
        <v>FY25</v>
      </c>
    </row>
    <row r="32" spans="1:15" x14ac:dyDescent="0.25">
      <c r="A32" s="393" t="s">
        <v>210</v>
      </c>
      <c r="I32" s="393">
        <f>+'P&amp;L'!W18</f>
        <v>88.9767929961356</v>
      </c>
      <c r="J32" s="393">
        <f>+'P&amp;L'!X18</f>
        <v>153.37760951844223</v>
      </c>
      <c r="K32" s="393">
        <f>+'P&amp;L'!Y18</f>
        <v>371.38558625620163</v>
      </c>
      <c r="L32" s="393">
        <f>+'P&amp;L'!Z18</f>
        <v>226.05198588657998</v>
      </c>
      <c r="M32" s="393">
        <f>+'P&amp;L'!AA18</f>
        <v>124.22393844133417</v>
      </c>
      <c r="N32" s="393">
        <f>+'P&amp;L'!AB18</f>
        <v>244.7</v>
      </c>
      <c r="O32" s="393">
        <f>+'P&amp;L'!AC18</f>
        <v>271.24310133988445</v>
      </c>
    </row>
    <row r="33" spans="1:15" s="393" customFormat="1" x14ac:dyDescent="0.25">
      <c r="A33" s="393" t="s">
        <v>211</v>
      </c>
      <c r="C33" s="393">
        <f>+SUM($B$32:C32)</f>
        <v>0</v>
      </c>
      <c r="D33" s="393">
        <f>+SUM($B$32:D32)</f>
        <v>0</v>
      </c>
      <c r="E33" s="393">
        <f>+SUM($B$32:E32)</f>
        <v>0</v>
      </c>
      <c r="F33" s="393">
        <f>+SUM($B$32:F32)</f>
        <v>0</v>
      </c>
      <c r="G33" s="393">
        <f>+SUM($B$32:G32)</f>
        <v>0</v>
      </c>
      <c r="H33" s="393">
        <f>+SUM($B$32:H32)</f>
        <v>0</v>
      </c>
      <c r="I33" s="393">
        <f>+SUM($B$32:I32)</f>
        <v>88.9767929961356</v>
      </c>
      <c r="J33" s="393">
        <f>+SUM($B$32:J32)</f>
        <v>242.35440251457783</v>
      </c>
      <c r="K33" s="393">
        <f>+SUM($B$32:K32)</f>
        <v>613.73998877077952</v>
      </c>
      <c r="L33" s="393">
        <f>+SUM($B$32:L32)</f>
        <v>839.79197465735956</v>
      </c>
      <c r="M33" s="393">
        <f>+SUM($B$32:M32)</f>
        <v>964.01591309869377</v>
      </c>
      <c r="N33" s="393">
        <f>+SUM($B$32:N32)</f>
        <v>1208.7159130986938</v>
      </c>
      <c r="O33" s="393">
        <f>+SUM($B$32:O32)</f>
        <v>1479.9590144385784</v>
      </c>
    </row>
    <row r="34" spans="1:15" x14ac:dyDescent="0.25">
      <c r="O34" s="392">
        <f>+(O33/1000)/O6</f>
        <v>7.2475330988262705E-3</v>
      </c>
    </row>
    <row r="36" spans="1:15" x14ac:dyDescent="0.25">
      <c r="B36" t="str">
        <f>+B23</f>
        <v>FY19</v>
      </c>
      <c r="C36" t="str">
        <f t="shared" ref="C36:G36" si="6">+C23</f>
        <v>FY20</v>
      </c>
      <c r="D36" t="str">
        <f t="shared" si="6"/>
        <v>FY21</v>
      </c>
      <c r="E36" t="str">
        <f t="shared" si="6"/>
        <v>FY22</v>
      </c>
      <c r="F36" t="str">
        <f t="shared" si="6"/>
        <v>FY23</v>
      </c>
      <c r="G36" t="str">
        <f t="shared" si="6"/>
        <v>FY24</v>
      </c>
      <c r="H36" t="s">
        <v>239</v>
      </c>
    </row>
    <row r="37" spans="1:15" x14ac:dyDescent="0.25">
      <c r="A37" s="393" t="s">
        <v>220</v>
      </c>
      <c r="B37" s="393">
        <f>+'P&amp;L'!W13</f>
        <v>4506.8350995332794</v>
      </c>
      <c r="C37" s="393">
        <f>+'P&amp;L'!X13</f>
        <v>5421.2165161690973</v>
      </c>
      <c r="D37" s="393">
        <f>+'P&amp;L'!Y13</f>
        <v>6409.0764520774492</v>
      </c>
      <c r="E37" s="393">
        <f>+'P&amp;L'!Z13</f>
        <v>8223.4231116102637</v>
      </c>
      <c r="F37" s="393">
        <f>+'P&amp;L'!AA13</f>
        <v>10119.795933401505</v>
      </c>
      <c r="G37" s="393">
        <f>+'P&amp;L'!AB13</f>
        <v>11843.561038072001</v>
      </c>
      <c r="H37" s="393">
        <f>+'P&amp;L'!AC13</f>
        <v>13426.222535086707</v>
      </c>
      <c r="I37" s="391">
        <f>+POWER(H37/C37,1/5)-1</f>
        <v>0.19886813651800317</v>
      </c>
      <c r="J37" s="448">
        <f>H37/C37</f>
        <v>2.4766069562140172</v>
      </c>
    </row>
    <row r="38" spans="1:15" x14ac:dyDescent="0.25">
      <c r="A38" s="393" t="s">
        <v>221</v>
      </c>
      <c r="B38" s="393">
        <f>+'P&amp;L'!W23</f>
        <v>1761.4068624032557</v>
      </c>
      <c r="C38" s="393">
        <f>+'P&amp;L'!X23</f>
        <v>2490.6765042737211</v>
      </c>
      <c r="D38" s="393">
        <f>+'P&amp;L'!Y23</f>
        <v>2903.2920021715054</v>
      </c>
      <c r="E38" s="393">
        <f>+'P&amp;L'!Z23</f>
        <v>3575.0796183261932</v>
      </c>
      <c r="F38" s="393">
        <f>+'P&amp;L'!AA23</f>
        <v>4282.7862233836231</v>
      </c>
      <c r="G38" s="393">
        <f>+'P&amp;L'!AB23</f>
        <v>4908.3181286815288</v>
      </c>
      <c r="H38" s="393">
        <f>+'P&amp;L'!AC23</f>
        <v>5743.4478785688443</v>
      </c>
      <c r="I38" s="391">
        <f>+POWER(H38/C38,1/5)-1</f>
        <v>0.18187370975122619</v>
      </c>
      <c r="J38" s="448">
        <f>H38/C38</f>
        <v>2.3059790658135384</v>
      </c>
    </row>
    <row r="41" spans="1:15" x14ac:dyDescent="0.25">
      <c r="B41" t="str">
        <f>+BS!U4</f>
        <v>FY19</v>
      </c>
      <c r="C41" t="str">
        <f>+BS!V4</f>
        <v>FY20</v>
      </c>
      <c r="D41" t="str">
        <f>+BS!W4</f>
        <v>FY21</v>
      </c>
      <c r="E41" t="str">
        <f>+BS!X4</f>
        <v>FY22</v>
      </c>
      <c r="F41" t="str">
        <f>+BS!Y4</f>
        <v>FY23</v>
      </c>
      <c r="G41" t="str">
        <f>+BS!Z4</f>
        <v>FY24</v>
      </c>
      <c r="H41" t="str">
        <f>H36</f>
        <v>FY25</v>
      </c>
    </row>
    <row r="42" spans="1:15" x14ac:dyDescent="0.25">
      <c r="A42" s="393" t="s">
        <v>219</v>
      </c>
      <c r="B42" s="393">
        <f>+SUM(BS!U6:U7)</f>
        <v>18369.593140623168</v>
      </c>
      <c r="C42" s="393">
        <f>+SUM(BS!V6:V7)</f>
        <v>20979.336973676531</v>
      </c>
      <c r="D42" s="393">
        <f>+SUM(BS!W6:W7)</f>
        <v>24014.04792654319</v>
      </c>
      <c r="E42" s="393">
        <f>+SUM(BS!X6:X7)</f>
        <v>28086.432961471834</v>
      </c>
      <c r="F42" s="393">
        <f>+SUM(BS!Y6:Y7)</f>
        <v>32696.600112345801</v>
      </c>
      <c r="G42" s="393">
        <f>+SUM(BS!Z6:Z7)</f>
        <v>37733.151922592137</v>
      </c>
      <c r="H42" s="393">
        <f>+SUM(BS!AA6:AA7)</f>
        <v>43608.322557626816</v>
      </c>
      <c r="I42" s="391">
        <f>+POWER(H42/C42,1/5)-1</f>
        <v>0.15759202071932243</v>
      </c>
      <c r="J42" s="448">
        <f>H42/C42</f>
        <v>2.0786320660344808</v>
      </c>
    </row>
    <row r="45" spans="1:15" x14ac:dyDescent="0.25">
      <c r="A45" s="393" t="s">
        <v>36</v>
      </c>
      <c r="B45" s="392">
        <v>0.33097406585054601</v>
      </c>
      <c r="D45" t="s">
        <v>223</v>
      </c>
      <c r="E45" s="399">
        <v>0.08</v>
      </c>
    </row>
    <row r="46" spans="1:15" x14ac:dyDescent="0.25">
      <c r="A46" s="393" t="s">
        <v>37</v>
      </c>
      <c r="B46" s="392">
        <v>0.19956288338300601</v>
      </c>
      <c r="D46" t="s">
        <v>224</v>
      </c>
      <c r="E46" s="399">
        <v>0.03</v>
      </c>
    </row>
    <row r="47" spans="1:15" x14ac:dyDescent="0.25">
      <c r="A47" s="393" t="s">
        <v>40</v>
      </c>
      <c r="B47" s="392">
        <v>0.122662483876244</v>
      </c>
      <c r="D47" t="s">
        <v>225</v>
      </c>
      <c r="E47" s="399">
        <v>7.0000000000000007E-2</v>
      </c>
    </row>
    <row r="48" spans="1:15" x14ac:dyDescent="0.25">
      <c r="A48" s="393" t="s">
        <v>38</v>
      </c>
      <c r="B48" s="392">
        <v>0.122197747522304</v>
      </c>
      <c r="D48" t="s">
        <v>234</v>
      </c>
      <c r="E48" s="399">
        <v>0.82</v>
      </c>
    </row>
    <row r="49" spans="1:8" x14ac:dyDescent="0.25">
      <c r="A49" s="393" t="s">
        <v>43</v>
      </c>
      <c r="B49" s="392">
        <v>5.5035264135771603E-2</v>
      </c>
    </row>
    <row r="50" spans="1:8" x14ac:dyDescent="0.25">
      <c r="A50" s="393" t="s">
        <v>41</v>
      </c>
      <c r="B50" s="392">
        <v>5.4830074955264797E-2</v>
      </c>
    </row>
    <row r="51" spans="1:8" x14ac:dyDescent="0.25">
      <c r="A51" s="393" t="s">
        <v>44</v>
      </c>
      <c r="B51" s="392">
        <v>4.4980504579293597E-2</v>
      </c>
    </row>
    <row r="52" spans="1:8" x14ac:dyDescent="0.25">
      <c r="A52" s="393" t="s">
        <v>39</v>
      </c>
      <c r="B52" s="392">
        <v>3.2749956170807497E-2</v>
      </c>
    </row>
    <row r="53" spans="1:8" x14ac:dyDescent="0.25">
      <c r="A53" s="393" t="s">
        <v>157</v>
      </c>
      <c r="B53" s="392">
        <v>3.7007019526762441E-2</v>
      </c>
    </row>
    <row r="55" spans="1:8" x14ac:dyDescent="0.25">
      <c r="B55" t="str">
        <f>+'Yields, Margins &amp; Ratios'!U3</f>
        <v>FY19</v>
      </c>
      <c r="C55" t="str">
        <f>+'Yields, Margins &amp; Ratios'!V3</f>
        <v>FY20</v>
      </c>
      <c r="D55" t="str">
        <f>+'Yields, Margins &amp; Ratios'!W3</f>
        <v>FY21</v>
      </c>
      <c r="E55" t="str">
        <f>+'Yields, Margins &amp; Ratios'!X3</f>
        <v>FY22</v>
      </c>
      <c r="F55" t="str">
        <f>+'Yields, Margins &amp; Ratios'!Y3</f>
        <v>FY23</v>
      </c>
      <c r="G55" t="str">
        <f>+'Yields, Margins &amp; Ratios'!Z3</f>
        <v>FY24</v>
      </c>
      <c r="H55" t="s">
        <v>239</v>
      </c>
    </row>
    <row r="56" spans="1:8" x14ac:dyDescent="0.25">
      <c r="A56" s="393" t="str">
        <f>+'Yields, Margins &amp; Ratios'!B5</f>
        <v xml:space="preserve">Yield </v>
      </c>
      <c r="B56" s="392">
        <f>+'Yields, Margins &amp; Ratios'!U5</f>
        <v>0.13750000000000001</v>
      </c>
      <c r="C56" s="392">
        <f>+'Yields, Margins &amp; Ratios'!V5</f>
        <v>0.1363</v>
      </c>
      <c r="D56" s="392">
        <f>+'Yields, Margins &amp; Ratios'!W5</f>
        <v>0.13159999999999999</v>
      </c>
      <c r="E56" s="392">
        <f>+'Yields, Margins &amp; Ratios'!X5</f>
        <v>0.1265</v>
      </c>
      <c r="F56" s="392">
        <f>+'Yields, Margins &amp; Ratios'!Y5</f>
        <v>0.13120000000000001</v>
      </c>
      <c r="G56" s="392">
        <f>+'Yields, Margins &amp; Ratios'!Z5</f>
        <v>0.1313</v>
      </c>
      <c r="H56" s="392">
        <f>+'Yields, Margins &amp; Ratios'!AA5</f>
        <v>0.1313</v>
      </c>
    </row>
    <row r="57" spans="1:8" x14ac:dyDescent="0.25">
      <c r="A57" s="393" t="str">
        <f>+'Yields, Margins &amp; Ratios'!B6</f>
        <v>CoB</v>
      </c>
      <c r="B57" s="392">
        <f>+'Yields, Margins &amp; Ratios'!U6</f>
        <v>8.7400000000000005E-2</v>
      </c>
      <c r="C57" s="392">
        <f>+'Yields, Margins &amp; Ratios'!V6</f>
        <v>8.4400000000000003E-2</v>
      </c>
      <c r="D57" s="392">
        <f>+'Yields, Margins &amp; Ratios'!W6</f>
        <v>7.3999999999999996E-2</v>
      </c>
      <c r="E57" s="392">
        <f>+'Yields, Margins &amp; Ratios'!X6</f>
        <v>6.88E-2</v>
      </c>
      <c r="F57" s="392">
        <f>+'Yields, Margins &amp; Ratios'!Y6</f>
        <v>7.6100000000000001E-2</v>
      </c>
      <c r="G57" s="392">
        <f>+'Yields, Margins &amp; Ratios'!Z6</f>
        <v>8.0699999999999994E-2</v>
      </c>
      <c r="H57" s="392">
        <f>+'Yields, Margins &amp; Ratios'!AA6</f>
        <v>8.2400000000000001E-2</v>
      </c>
    </row>
    <row r="58" spans="1:8" x14ac:dyDescent="0.25">
      <c r="A58" s="393" t="str">
        <f>+'Yields, Margins &amp; Ratios'!B7</f>
        <v>Spread</v>
      </c>
      <c r="B58" s="392">
        <f>+'Yields, Margins &amp; Ratios'!U7</f>
        <v>5.0100000000000006E-2</v>
      </c>
      <c r="C58" s="392">
        <f>+'Yields, Margins &amp; Ratios'!V7</f>
        <v>5.1900000000000002E-2</v>
      </c>
      <c r="D58" s="392">
        <f>+'Yields, Margins &amp; Ratios'!W7</f>
        <v>5.7599999999999998E-2</v>
      </c>
      <c r="E58" s="392">
        <f>+'Yields, Margins &amp; Ratios'!X7</f>
        <v>5.7700000000000001E-2</v>
      </c>
      <c r="F58" s="392">
        <f>+'Yields, Margins &amp; Ratios'!Y7</f>
        <v>5.510000000000001E-2</v>
      </c>
      <c r="G58" s="392">
        <f>+'Yields, Margins &amp; Ratios'!Z7</f>
        <v>5.0600000000000006E-2</v>
      </c>
      <c r="H58" s="392">
        <f>+'Yields, Margins &amp; Ratios'!AA7</f>
        <v>4.8899999999999999E-2</v>
      </c>
    </row>
    <row r="59" spans="1:8" x14ac:dyDescent="0.25">
      <c r="B59" s="392"/>
      <c r="C59" s="392"/>
      <c r="D59" s="392"/>
      <c r="E59" s="392"/>
      <c r="F59" s="392"/>
      <c r="G59" s="392"/>
      <c r="H59" s="397"/>
    </row>
    <row r="60" spans="1:8" x14ac:dyDescent="0.25">
      <c r="B60" t="str">
        <f>+B55</f>
        <v>FY19</v>
      </c>
      <c r="C60" t="str">
        <f t="shared" ref="C60:H60" si="7">+C55</f>
        <v>FY20</v>
      </c>
      <c r="D60" t="str">
        <f t="shared" si="7"/>
        <v>FY21</v>
      </c>
      <c r="E60" t="str">
        <f t="shared" si="7"/>
        <v>FY22</v>
      </c>
      <c r="F60" t="str">
        <f t="shared" si="7"/>
        <v>FY23</v>
      </c>
      <c r="G60" t="str">
        <f t="shared" si="7"/>
        <v>FY24</v>
      </c>
      <c r="H60" t="str">
        <f t="shared" si="7"/>
        <v>FY25</v>
      </c>
    </row>
    <row r="61" spans="1:8" x14ac:dyDescent="0.25">
      <c r="A61" s="393" t="str">
        <f>+'Yields, Margins &amp; Ratios'!B14</f>
        <v>Operating Expenses to Average Total Assets</v>
      </c>
      <c r="B61" s="392">
        <f>+'Yields, Margins &amp; Ratios'!U14</f>
        <v>3.8087267389458938E-2</v>
      </c>
      <c r="C61" s="392">
        <f>+'Yields, Margins &amp; Ratios'!V14</f>
        <v>3.3833621538776767E-2</v>
      </c>
      <c r="D61" s="392">
        <f>+'Yields, Margins &amp; Ratios'!W14</f>
        <v>3.0140627281872986E-2</v>
      </c>
      <c r="E61" s="392">
        <f>+'Yields, Margins &amp; Ratios'!X14</f>
        <v>3.4521773850903749E-2</v>
      </c>
      <c r="F61" s="392">
        <f>+'Yields, Margins &amp; Ratios'!Y14</f>
        <v>3.6884522891153015E-2</v>
      </c>
      <c r="G61" s="392">
        <f>+'Yields, Margins &amp; Ratios'!Z14</f>
        <v>3.5780192601668419E-2</v>
      </c>
      <c r="H61" s="392">
        <f>+'Yields, Margins &amp; Ratios'!AA14</f>
        <v>3.3178326125141017E-2</v>
      </c>
    </row>
    <row r="62" spans="1:8" x14ac:dyDescent="0.25">
      <c r="A62" s="393" t="str">
        <f>+'Yields, Margins &amp; Ratios'!B23</f>
        <v>Operating expenses / AUM</v>
      </c>
      <c r="B62" s="392">
        <f>+'Yields, Margins &amp; Ratios'!U23</f>
        <v>3.6764908172388214E-2</v>
      </c>
      <c r="C62" s="392">
        <f>+'Yields, Margins &amp; Ratios'!V23</f>
        <v>3.2718363899950351E-2</v>
      </c>
      <c r="D62" s="392">
        <f>+'Yields, Margins &amp; Ratios'!W23</f>
        <v>2.9035846644608607E-2</v>
      </c>
      <c r="E62" s="392">
        <f>+'Yields, Margins &amp; Ratios'!X23</f>
        <v>3.3154352130747758E-2</v>
      </c>
      <c r="F62" s="392">
        <f>+'Yields, Margins &amp; Ratios'!Y23</f>
        <v>3.5314773245566103E-2</v>
      </c>
      <c r="G62" s="392">
        <f>+'Yields, Margins &amp; Ratios'!Z23</f>
        <v>3.3977966507008295E-2</v>
      </c>
      <c r="H62" s="392">
        <f>+'Yields, Margins &amp; Ratios'!AA23</f>
        <v>3.0896645007626511E-2</v>
      </c>
    </row>
    <row r="65" spans="1:8" x14ac:dyDescent="0.25">
      <c r="B65" t="str">
        <f>+B60</f>
        <v>FY19</v>
      </c>
      <c r="C65" t="str">
        <f t="shared" ref="C65:H65" si="8">+C60</f>
        <v>FY20</v>
      </c>
      <c r="D65" t="str">
        <f t="shared" si="8"/>
        <v>FY21</v>
      </c>
      <c r="E65" t="str">
        <f t="shared" si="8"/>
        <v>FY22</v>
      </c>
      <c r="F65" t="str">
        <f t="shared" si="8"/>
        <v>FY23</v>
      </c>
      <c r="G65" t="str">
        <f t="shared" si="8"/>
        <v>FY24</v>
      </c>
      <c r="H65" t="str">
        <f t="shared" si="8"/>
        <v>FY25</v>
      </c>
    </row>
    <row r="66" spans="1:8" x14ac:dyDescent="0.25">
      <c r="A66" s="393" t="s">
        <v>232</v>
      </c>
      <c r="B66" s="392">
        <f>+'Yields, Margins &amp; Ratios'!U17</f>
        <v>3.6394700938653768E-2</v>
      </c>
      <c r="C66" s="392">
        <f>+'Yields, Margins &amp; Ratios'!V17</f>
        <v>3.7504300617694421E-2</v>
      </c>
      <c r="D66" s="392">
        <f>+'Yields, Margins &amp; Ratios'!W17</f>
        <v>3.484097845825309E-2</v>
      </c>
      <c r="E66" s="392">
        <f>+'Yields, Margins &amp; Ratios'!X17</f>
        <v>3.5714853270755943E-2</v>
      </c>
      <c r="F66" s="392">
        <f>+'Yields, Margins &amp; Ratios'!Y17</f>
        <v>3.5207194924761737E-2</v>
      </c>
      <c r="G66" s="392">
        <f>+'Yields, Margins &amp; Ratios'!Z17</f>
        <v>3.2789472494081401E-2</v>
      </c>
      <c r="H66" s="392">
        <f>+'Yields, Margins &amp; Ratios'!AA17</f>
        <v>3.2677408981324985E-2</v>
      </c>
    </row>
    <row r="67" spans="1:8" x14ac:dyDescent="0.25">
      <c r="A67" s="393" t="s">
        <v>233</v>
      </c>
      <c r="B67" s="392">
        <f>+'Yields, Margins &amp; Ratios'!U19</f>
        <v>0.1163849583843159</v>
      </c>
      <c r="C67" s="392">
        <f>+'Yields, Margins &amp; Ratios'!V19</f>
        <v>0.1265943697599336</v>
      </c>
      <c r="D67" s="392">
        <f>+'Yields, Margins &amp; Ratios'!W19</f>
        <v>0.12905417134585609</v>
      </c>
      <c r="E67" s="392">
        <f>+'Yields, Margins &amp; Ratios'!X19</f>
        <v>0.1372378740998757</v>
      </c>
      <c r="F67" s="392">
        <f>+'Yields, Margins &amp; Ratios'!Y19</f>
        <v>0.14092045121152208</v>
      </c>
      <c r="G67" s="392">
        <f>+'Yields, Margins &amp; Ratios'!Z19</f>
        <v>0.139381951146063</v>
      </c>
      <c r="H67" s="392">
        <f>+'Yields, Margins &amp; Ratios'!AA19</f>
        <v>0.14116002238877415</v>
      </c>
    </row>
    <row r="71" spans="1:8" x14ac:dyDescent="0.25">
      <c r="A71" s="115" t="s">
        <v>118</v>
      </c>
      <c r="B71" s="392">
        <v>0.50942369621294203</v>
      </c>
    </row>
    <row r="72" spans="1:8" x14ac:dyDescent="0.25">
      <c r="A72" s="111" t="s">
        <v>119</v>
      </c>
      <c r="B72" s="392">
        <v>0.25204706401527383</v>
      </c>
    </row>
    <row r="73" spans="1:8" x14ac:dyDescent="0.25">
      <c r="A73" s="111" t="s">
        <v>120</v>
      </c>
      <c r="B73" s="392">
        <v>0.143577118127246</v>
      </c>
    </row>
    <row r="74" spans="1:8" x14ac:dyDescent="0.25">
      <c r="A74" s="111" t="s">
        <v>121</v>
      </c>
      <c r="B74" s="392">
        <v>9.4952121644538132E-2</v>
      </c>
    </row>
    <row r="75" spans="1:8" x14ac:dyDescent="0.25">
      <c r="A75" s="111" t="s">
        <v>122</v>
      </c>
      <c r="B75" s="392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F30"/>
  <sheetViews>
    <sheetView showGridLines="0" zoomScale="85" zoomScaleNormal="85" workbookViewId="0">
      <pane xSplit="2" ySplit="4" topLeftCell="O5" activePane="bottomRight" state="frozen"/>
      <selection pane="topRight" activeCell="C1" sqref="C1"/>
      <selection pane="bottomLeft" activeCell="A5" sqref="A5"/>
      <selection pane="bottomRight" activeCell="U10" sqref="U10"/>
    </sheetView>
  </sheetViews>
  <sheetFormatPr defaultColWidth="9.140625" defaultRowHeight="15" x14ac:dyDescent="0.25"/>
  <cols>
    <col min="1" max="1" width="5.85546875" style="1" bestFit="1" customWidth="1"/>
    <col min="2" max="2" width="42.85546875" style="15" bestFit="1" customWidth="1"/>
    <col min="3" max="6" width="9.85546875" style="6" bestFit="1" customWidth="1"/>
    <col min="7" max="14" width="9.85546875" style="1" bestFit="1" customWidth="1"/>
    <col min="15" max="15" width="9.85546875" style="1" customWidth="1"/>
    <col min="16" max="17" width="9.85546875" style="6" bestFit="1" customWidth="1"/>
    <col min="18" max="19" width="9.85546875" style="6" customWidth="1"/>
    <col min="20" max="20" width="7.7109375" style="1" bestFit="1" customWidth="1"/>
    <col min="21" max="21" width="8.42578125" style="1" bestFit="1" customWidth="1"/>
    <col min="22" max="22" width="10.140625" style="379" bestFit="1" customWidth="1"/>
    <col min="23" max="24" width="8.140625" style="6" bestFit="1" customWidth="1"/>
    <col min="25" max="28" width="9.28515625" style="6" bestFit="1" customWidth="1"/>
    <col min="29" max="29" width="9.42578125" style="6" bestFit="1" customWidth="1"/>
    <col min="30" max="30" width="7.7109375" style="1" bestFit="1" customWidth="1"/>
    <col min="31" max="31" width="10.140625" style="1" bestFit="1" customWidth="1"/>
    <col min="32" max="16384" width="9.140625" style="1"/>
  </cols>
  <sheetData>
    <row r="1" spans="1:32" x14ac:dyDescent="0.25">
      <c r="A1" s="101" t="s">
        <v>0</v>
      </c>
      <c r="H1" s="2"/>
      <c r="I1" s="2"/>
      <c r="J1" s="2"/>
      <c r="K1" s="2"/>
    </row>
    <row r="3" spans="1:32" x14ac:dyDescent="0.25">
      <c r="G3" s="11"/>
    </row>
    <row r="4" spans="1:32" s="140" customFormat="1" ht="30" x14ac:dyDescent="0.25">
      <c r="B4" s="141" t="s">
        <v>160</v>
      </c>
      <c r="C4" s="138" t="s">
        <v>178</v>
      </c>
      <c r="D4" s="105" t="s">
        <v>179</v>
      </c>
      <c r="E4" s="105" t="s">
        <v>180</v>
      </c>
      <c r="F4" s="137" t="s">
        <v>181</v>
      </c>
      <c r="G4" s="102" t="s">
        <v>108</v>
      </c>
      <c r="H4" s="103" t="s">
        <v>107</v>
      </c>
      <c r="I4" s="103" t="s">
        <v>106</v>
      </c>
      <c r="J4" s="104" t="s">
        <v>105</v>
      </c>
      <c r="K4" s="102" t="s">
        <v>1</v>
      </c>
      <c r="L4" s="103" t="s">
        <v>2</v>
      </c>
      <c r="M4" s="103" t="s">
        <v>3</v>
      </c>
      <c r="N4" s="104" t="s">
        <v>96</v>
      </c>
      <c r="O4" s="102" t="s">
        <v>97</v>
      </c>
      <c r="P4" s="105" t="s">
        <v>131</v>
      </c>
      <c r="Q4" s="105" t="s">
        <v>174</v>
      </c>
      <c r="R4" s="104" t="s">
        <v>238</v>
      </c>
      <c r="S4" s="103" t="s">
        <v>252</v>
      </c>
      <c r="T4" s="102" t="s">
        <v>4</v>
      </c>
      <c r="U4" s="104" t="s">
        <v>5</v>
      </c>
      <c r="V4" s="257"/>
      <c r="W4" s="102" t="s">
        <v>6</v>
      </c>
      <c r="X4" s="103" t="s">
        <v>7</v>
      </c>
      <c r="Y4" s="103" t="s">
        <v>8</v>
      </c>
      <c r="Z4" s="103" t="s">
        <v>9</v>
      </c>
      <c r="AA4" s="103" t="s">
        <v>10</v>
      </c>
      <c r="AB4" s="105" t="s">
        <v>98</v>
      </c>
      <c r="AC4" s="103" t="s">
        <v>239</v>
      </c>
      <c r="AD4" s="106" t="s">
        <v>4</v>
      </c>
      <c r="AE4" s="497" t="s">
        <v>250</v>
      </c>
    </row>
    <row r="5" spans="1:32" s="12" customFormat="1" x14ac:dyDescent="0.25">
      <c r="B5" s="49" t="s">
        <v>11</v>
      </c>
      <c r="C5" s="34">
        <v>2719.8999999999996</v>
      </c>
      <c r="D5" s="35">
        <v>3254.5848151471</v>
      </c>
      <c r="E5" s="35">
        <v>3428.6162577124537</v>
      </c>
      <c r="F5" s="36">
        <v>3652.4438679202881</v>
      </c>
      <c r="G5" s="34">
        <v>3528.8322528399453</v>
      </c>
      <c r="H5" s="35">
        <v>3950.8387482821627</v>
      </c>
      <c r="I5" s="35">
        <v>4119.6302577471624</v>
      </c>
      <c r="J5" s="36">
        <v>4502.1551663375258</v>
      </c>
      <c r="K5" s="30">
        <v>4668.5489148759261</v>
      </c>
      <c r="L5" s="13">
        <v>4974.4287652479497</v>
      </c>
      <c r="M5" s="13">
        <v>5091.9647483234176</v>
      </c>
      <c r="N5" s="31">
        <v>5468.0224039821551</v>
      </c>
      <c r="O5" s="45">
        <v>5425.5502270235929</v>
      </c>
      <c r="P5" s="13">
        <v>5804.5464180861036</v>
      </c>
      <c r="Q5" s="13">
        <v>5979.1738075668063</v>
      </c>
      <c r="R5" s="31">
        <v>6374.8804639073423</v>
      </c>
      <c r="S5" s="13">
        <v>6279.3487469917554</v>
      </c>
      <c r="T5" s="27">
        <f>+S5/O5-1</f>
        <v>0.1573662548943997</v>
      </c>
      <c r="U5" s="26">
        <f>+S5/R5-1</f>
        <v>-1.498564835159788E-2</v>
      </c>
      <c r="V5" s="518"/>
      <c r="W5" s="30">
        <v>7109.7259539049128</v>
      </c>
      <c r="X5" s="13">
        <v>9030.9409965760115</v>
      </c>
      <c r="Y5" s="13">
        <v>11053.350142282952</v>
      </c>
      <c r="Z5" s="13">
        <v>13055.57975298107</v>
      </c>
      <c r="AA5" s="13">
        <v>16101.456425206798</v>
      </c>
      <c r="AB5" s="13">
        <v>20202.96</v>
      </c>
      <c r="AC5" s="13">
        <v>23584.150916583851</v>
      </c>
      <c r="AD5" s="72">
        <v>0.16736116472951745</v>
      </c>
      <c r="AE5" s="72">
        <v>0.22122184430983971</v>
      </c>
    </row>
    <row r="6" spans="1:32" s="3" customFormat="1" x14ac:dyDescent="0.25">
      <c r="B6" s="50" t="s">
        <v>102</v>
      </c>
      <c r="C6" s="32">
        <v>2810.2</v>
      </c>
      <c r="D6" s="14">
        <v>2971</v>
      </c>
      <c r="E6" s="14">
        <v>3038.3033072955541</v>
      </c>
      <c r="F6" s="33">
        <v>3271.533348472788</v>
      </c>
      <c r="G6" s="32">
        <v>3396.3668267799449</v>
      </c>
      <c r="H6" s="14">
        <v>3555.5078715121626</v>
      </c>
      <c r="I6" s="14">
        <v>3872.4104378371621</v>
      </c>
      <c r="J6" s="33">
        <v>4167.4921745038264</v>
      </c>
      <c r="K6" s="32">
        <v>4427.1450069061257</v>
      </c>
      <c r="L6" s="14">
        <v>4593.2067386957497</v>
      </c>
      <c r="M6" s="14">
        <v>4723.9981437334163</v>
      </c>
      <c r="N6" s="33">
        <v>4971.093905022155</v>
      </c>
      <c r="O6" s="32">
        <v>5159.0315030035945</v>
      </c>
      <c r="P6" s="14">
        <v>5309.774898726102</v>
      </c>
      <c r="Q6" s="14">
        <v>5540.9259580780836</v>
      </c>
      <c r="R6" s="33">
        <v>5777.5257262512969</v>
      </c>
      <c r="S6" s="14">
        <v>5921.2531367005367</v>
      </c>
      <c r="T6" s="22">
        <f t="shared" ref="T6:T9" si="0">+S6/O6-1</f>
        <v>0.14774510162482546</v>
      </c>
      <c r="U6" s="23">
        <f t="shared" ref="U6:U9" si="1">+S6/R6-1</f>
        <v>2.4876983203413028E-2</v>
      </c>
      <c r="V6" s="518"/>
      <c r="W6" s="64">
        <v>5935.4817988000095</v>
      </c>
      <c r="X6" s="4">
        <v>7864.2508810970739</v>
      </c>
      <c r="Y6" s="4">
        <v>10440.003070818655</v>
      </c>
      <c r="Z6" s="4">
        <v>12090.970571938073</v>
      </c>
      <c r="AA6" s="4">
        <v>14991.777310633095</v>
      </c>
      <c r="AB6" s="4">
        <v>18715.439999999999</v>
      </c>
      <c r="AC6" s="4">
        <v>21787.258086059079</v>
      </c>
      <c r="AD6" s="68">
        <v>0.16413282755089265</v>
      </c>
      <c r="AE6" s="68">
        <v>0.24200811491748397</v>
      </c>
    </row>
    <row r="7" spans="1:32" x14ac:dyDescent="0.25">
      <c r="B7" s="50" t="s">
        <v>109</v>
      </c>
      <c r="C7" s="32">
        <v>1147.7</v>
      </c>
      <c r="D7" s="14">
        <v>1175.9000000000001</v>
      </c>
      <c r="E7" s="14">
        <v>1266.8341754169301</v>
      </c>
      <c r="F7" s="33">
        <v>1241.7521630543999</v>
      </c>
      <c r="G7" s="32">
        <v>1369.9466002141849</v>
      </c>
      <c r="H7" s="14">
        <v>1433.0431709627874</v>
      </c>
      <c r="I7" s="14">
        <v>1514.7933433052322</v>
      </c>
      <c r="J7" s="33">
        <v>1663.8773773230869</v>
      </c>
      <c r="K7" s="32">
        <v>1887.9896635716998</v>
      </c>
      <c r="L7" s="357">
        <v>2060</v>
      </c>
      <c r="M7" s="14">
        <v>2182.8007831421355</v>
      </c>
      <c r="N7" s="33">
        <v>2227.9477368892176</v>
      </c>
      <c r="O7" s="32">
        <v>2361.9776807489989</v>
      </c>
      <c r="P7" s="14">
        <v>2510.312289077372</v>
      </c>
      <c r="Q7" s="14">
        <v>2612.4243797634008</v>
      </c>
      <c r="R7" s="33">
        <v>2673.2140319073701</v>
      </c>
      <c r="S7" s="14">
        <v>2735.9849491441391</v>
      </c>
      <c r="T7" s="22">
        <f t="shared" si="0"/>
        <v>0.15834496297041212</v>
      </c>
      <c r="U7" s="23">
        <f t="shared" si="1"/>
        <v>2.3481440875118054E-2</v>
      </c>
      <c r="V7" s="518"/>
      <c r="W7" s="65">
        <v>2602.8908543716343</v>
      </c>
      <c r="X7" s="5">
        <v>3609.7244804069151</v>
      </c>
      <c r="Y7" s="5">
        <v>4644.2736902055058</v>
      </c>
      <c r="Z7" s="5">
        <v>4832.1566413708078</v>
      </c>
      <c r="AA7" s="5">
        <v>5981.6604918052908</v>
      </c>
      <c r="AB7" s="5">
        <v>8358.7999999999993</v>
      </c>
      <c r="AC7" s="5">
        <v>10157.92838149714</v>
      </c>
      <c r="AD7" s="68">
        <v>0.21523763955318254</v>
      </c>
      <c r="AE7" s="68">
        <v>0.25475287132227864</v>
      </c>
    </row>
    <row r="8" spans="1:32" s="12" customFormat="1" x14ac:dyDescent="0.25">
      <c r="B8" s="63" t="s">
        <v>89</v>
      </c>
      <c r="C8" s="60">
        <v>1662.4999999999998</v>
      </c>
      <c r="D8" s="61">
        <v>1795.1</v>
      </c>
      <c r="E8" s="61">
        <v>1771.469131878624</v>
      </c>
      <c r="F8" s="62">
        <v>2029.7811854183881</v>
      </c>
      <c r="G8" s="60">
        <v>2026.42022656576</v>
      </c>
      <c r="H8" s="61">
        <v>2122.4647005493753</v>
      </c>
      <c r="I8" s="61">
        <v>2357.61709453193</v>
      </c>
      <c r="J8" s="62">
        <v>2503.6147971807395</v>
      </c>
      <c r="K8" s="60">
        <v>2539.1553433344261</v>
      </c>
      <c r="L8" s="61">
        <v>2533.2067386957497</v>
      </c>
      <c r="M8" s="61">
        <v>2541.1973605912808</v>
      </c>
      <c r="N8" s="62">
        <v>2743.1461681329374</v>
      </c>
      <c r="O8" s="60">
        <v>2797.0538222545956</v>
      </c>
      <c r="P8" s="61">
        <v>2799.46260964873</v>
      </c>
      <c r="Q8" s="61">
        <v>2928.5015783146828</v>
      </c>
      <c r="R8" s="62">
        <v>3104.3116943439268</v>
      </c>
      <c r="S8" s="61">
        <v>3185.2681875563976</v>
      </c>
      <c r="T8" s="58">
        <f t="shared" si="0"/>
        <v>0.13879402756321557</v>
      </c>
      <c r="U8" s="59">
        <f t="shared" si="1"/>
        <v>2.6078725715582562E-2</v>
      </c>
      <c r="V8" s="521"/>
      <c r="W8" s="55">
        <v>3332.5909444283752</v>
      </c>
      <c r="X8" s="56">
        <v>4254.5264006901589</v>
      </c>
      <c r="Y8" s="56">
        <v>5795.7293806131493</v>
      </c>
      <c r="Z8" s="56">
        <v>7258.8139305672648</v>
      </c>
      <c r="AA8" s="56">
        <v>9010.1168188278043</v>
      </c>
      <c r="AB8" s="56">
        <v>10356.64</v>
      </c>
      <c r="AC8" s="56">
        <v>11629.329704561938</v>
      </c>
      <c r="AD8" s="71">
        <v>0.12288635161229311</v>
      </c>
      <c r="AE8" s="71">
        <v>0.23157853844395326</v>
      </c>
    </row>
    <row r="9" spans="1:32" s="3" customFormat="1" x14ac:dyDescent="0.25">
      <c r="B9" s="51" t="s">
        <v>101</v>
      </c>
      <c r="C9" s="37">
        <v>-90.300000000000011</v>
      </c>
      <c r="D9" s="38">
        <v>283.58481514710002</v>
      </c>
      <c r="E9" s="38">
        <v>390.31295041689964</v>
      </c>
      <c r="F9" s="39">
        <v>380.91051944750001</v>
      </c>
      <c r="G9" s="37">
        <v>132.46542606000014</v>
      </c>
      <c r="H9" s="38">
        <v>395.33087676999986</v>
      </c>
      <c r="I9" s="38">
        <v>247.2198199100001</v>
      </c>
      <c r="J9" s="39">
        <v>334.66299183369995</v>
      </c>
      <c r="K9" s="37">
        <v>241.40390796979997</v>
      </c>
      <c r="L9" s="38">
        <v>381.22202655219974</v>
      </c>
      <c r="M9" s="38">
        <v>367.96660459000134</v>
      </c>
      <c r="N9" s="39">
        <v>496.92849896000018</v>
      </c>
      <c r="O9" s="37">
        <v>266.51872401999839</v>
      </c>
      <c r="P9" s="38">
        <v>494.77151936000161</v>
      </c>
      <c r="Q9" s="38">
        <v>438.24784948872264</v>
      </c>
      <c r="R9" s="39">
        <v>597.35473765604593</v>
      </c>
      <c r="S9" s="38">
        <v>358.09561029121926</v>
      </c>
      <c r="T9" s="24">
        <f t="shared" si="0"/>
        <v>0.34360394980860454</v>
      </c>
      <c r="U9" s="25">
        <f t="shared" si="1"/>
        <v>-0.40053106183379927</v>
      </c>
      <c r="V9" s="518"/>
      <c r="W9" s="64">
        <v>1174.2441551049039</v>
      </c>
      <c r="X9" s="4">
        <v>1166.6901154789384</v>
      </c>
      <c r="Y9" s="4">
        <v>613.34707146429969</v>
      </c>
      <c r="Z9" s="4">
        <v>964.60918104299958</v>
      </c>
      <c r="AA9" s="4">
        <v>1109.6791145737002</v>
      </c>
      <c r="AB9" s="4">
        <v>1486.9210380720019</v>
      </c>
      <c r="AC9" s="4">
        <v>1796.8928305247684</v>
      </c>
      <c r="AD9" s="68">
        <v>0.20846553684833702</v>
      </c>
      <c r="AE9" s="68">
        <v>7.3480009764732346E-2</v>
      </c>
    </row>
    <row r="10" spans="1:32" s="3" customFormat="1" x14ac:dyDescent="0.25">
      <c r="B10" s="52" t="s">
        <v>176</v>
      </c>
      <c r="C10" s="40">
        <v>-179.8</v>
      </c>
      <c r="D10" s="41">
        <v>146.99999999999997</v>
      </c>
      <c r="E10" s="41">
        <v>243.44073808999968</v>
      </c>
      <c r="F10" s="42">
        <v>226.37654800000013</v>
      </c>
      <c r="G10" s="40">
        <v>-30.962466999999769</v>
      </c>
      <c r="H10" s="41">
        <v>225.00523999999999</v>
      </c>
      <c r="I10" s="41">
        <v>72.726313999999945</v>
      </c>
      <c r="J10" s="42">
        <v>141.53942599999988</v>
      </c>
      <c r="K10" s="40">
        <v>31.291933000000007</v>
      </c>
      <c r="L10" s="41">
        <v>131.93739749999997</v>
      </c>
      <c r="M10" s="41">
        <v>97.041349500001033</v>
      </c>
      <c r="N10" s="42">
        <v>166.28066400000023</v>
      </c>
      <c r="O10" s="40">
        <v>-56.239305000001067</v>
      </c>
      <c r="P10" s="41">
        <v>181.78313300000099</v>
      </c>
      <c r="Q10" s="41">
        <v>111.58521347927274</v>
      </c>
      <c r="R10" s="42">
        <v>226.73560335319712</v>
      </c>
      <c r="S10" s="41">
        <v>43.065334710699801</v>
      </c>
      <c r="T10" s="24"/>
      <c r="U10" s="25"/>
      <c r="V10" s="518"/>
      <c r="W10" s="43">
        <v>782.80130597924301</v>
      </c>
      <c r="X10" s="7">
        <v>765.88752599999998</v>
      </c>
      <c r="Y10" s="7">
        <v>187.48959499999984</v>
      </c>
      <c r="Z10" s="7">
        <v>437.1006799999999</v>
      </c>
      <c r="AA10" s="7">
        <v>408.30851300000006</v>
      </c>
      <c r="AB10" s="7">
        <v>426.05134400000202</v>
      </c>
      <c r="AC10" s="7">
        <v>463.86464483246982</v>
      </c>
      <c r="AD10" s="68"/>
      <c r="AE10" s="68"/>
    </row>
    <row r="11" spans="1:32" s="3" customFormat="1" x14ac:dyDescent="0.25">
      <c r="B11" s="52" t="s">
        <v>90</v>
      </c>
      <c r="C11" s="40">
        <v>89.5</v>
      </c>
      <c r="D11" s="41">
        <v>126.3892617771</v>
      </c>
      <c r="E11" s="41">
        <v>127.81803836689996</v>
      </c>
      <c r="F11" s="42">
        <v>145.09053912749988</v>
      </c>
      <c r="G11" s="40">
        <v>143.88077588999991</v>
      </c>
      <c r="H11" s="41">
        <v>143.0219840099999</v>
      </c>
      <c r="I11" s="41">
        <v>155.98729158000015</v>
      </c>
      <c r="J11" s="42">
        <v>162.31325980370008</v>
      </c>
      <c r="K11" s="40">
        <v>174.84827312979996</v>
      </c>
      <c r="L11" s="41">
        <v>209.28208825219974</v>
      </c>
      <c r="M11" s="41">
        <v>218.28988533000029</v>
      </c>
      <c r="N11" s="42">
        <v>292.73033520999996</v>
      </c>
      <c r="O11" s="40">
        <v>261.30235001999949</v>
      </c>
      <c r="P11" s="41">
        <v>255.40200910000061</v>
      </c>
      <c r="Q11" s="41">
        <v>273.57956556900001</v>
      </c>
      <c r="R11" s="42">
        <v>322.52195042999858</v>
      </c>
      <c r="S11" s="41">
        <v>236.20929605999947</v>
      </c>
      <c r="T11" s="24"/>
      <c r="U11" s="25"/>
      <c r="V11" s="518"/>
      <c r="W11" s="43">
        <v>270.30036245970001</v>
      </c>
      <c r="X11" s="7">
        <v>340.7592424272998</v>
      </c>
      <c r="Y11" s="7">
        <v>387.14194227429977</v>
      </c>
      <c r="Z11" s="7">
        <v>474.30999872299981</v>
      </c>
      <c r="AA11" s="7">
        <v>605.20331128370003</v>
      </c>
      <c r="AB11" s="7">
        <v>895.15058192200001</v>
      </c>
      <c r="AC11" s="7">
        <v>1114.4729123689985</v>
      </c>
      <c r="AD11" s="68"/>
      <c r="AE11" s="68"/>
    </row>
    <row r="12" spans="1:32" s="3" customFormat="1" x14ac:dyDescent="0.25">
      <c r="B12" s="52" t="s">
        <v>177</v>
      </c>
      <c r="C12" s="40">
        <v>0</v>
      </c>
      <c r="D12" s="41">
        <v>10.195553369999999</v>
      </c>
      <c r="E12" s="41">
        <v>19.054173960000004</v>
      </c>
      <c r="F12" s="42">
        <v>9.4434323199999994</v>
      </c>
      <c r="G12" s="40">
        <v>19.54711717</v>
      </c>
      <c r="H12" s="41">
        <v>27.303652759999999</v>
      </c>
      <c r="I12" s="41">
        <v>18.506214329999999</v>
      </c>
      <c r="J12" s="42">
        <v>30.810306030000003</v>
      </c>
      <c r="K12" s="40">
        <v>35.263701840000003</v>
      </c>
      <c r="L12" s="41">
        <v>40.002540799999991</v>
      </c>
      <c r="M12" s="41">
        <v>52.635369760000003</v>
      </c>
      <c r="N12" s="42">
        <v>37.917499750000005</v>
      </c>
      <c r="O12" s="40">
        <v>61.455678999999996</v>
      </c>
      <c r="P12" s="41">
        <v>57.586377260000006</v>
      </c>
      <c r="Q12" s="41">
        <v>53.083070440449909</v>
      </c>
      <c r="R12" s="42">
        <v>48.097183872850202</v>
      </c>
      <c r="S12" s="41">
        <v>78.820979520519998</v>
      </c>
      <c r="T12" s="24"/>
      <c r="U12" s="25"/>
      <c r="V12" s="518"/>
      <c r="W12" s="43">
        <v>121.142486665961</v>
      </c>
      <c r="X12" s="7">
        <v>60.043347051638555</v>
      </c>
      <c r="Y12" s="7">
        <v>38.71553419</v>
      </c>
      <c r="Z12" s="7">
        <v>53.198502320000003</v>
      </c>
      <c r="AA12" s="7">
        <v>96.167290289999983</v>
      </c>
      <c r="AB12" s="7">
        <v>165.71911215</v>
      </c>
      <c r="AC12" s="7">
        <v>218.55527332330013</v>
      </c>
      <c r="AD12" s="68"/>
      <c r="AE12" s="68"/>
    </row>
    <row r="13" spans="1:32" s="2" customFormat="1" x14ac:dyDescent="0.25">
      <c r="B13" s="54" t="s">
        <v>91</v>
      </c>
      <c r="C13" s="60">
        <v>1572.1999999999998</v>
      </c>
      <c r="D13" s="61">
        <v>2078.6848151470999</v>
      </c>
      <c r="E13" s="61">
        <v>2161.7820822955237</v>
      </c>
      <c r="F13" s="62">
        <v>2410.6917048658879</v>
      </c>
      <c r="G13" s="60">
        <v>2158.88565262576</v>
      </c>
      <c r="H13" s="61">
        <v>2517.7955773193753</v>
      </c>
      <c r="I13" s="61">
        <v>2604.8369144419303</v>
      </c>
      <c r="J13" s="62">
        <v>2838.2777890144393</v>
      </c>
      <c r="K13" s="60">
        <v>2780.5592513042261</v>
      </c>
      <c r="L13" s="61">
        <v>2914.4287652479493</v>
      </c>
      <c r="M13" s="61">
        <v>2909.163965181282</v>
      </c>
      <c r="N13" s="62">
        <v>3240.0746670929375</v>
      </c>
      <c r="O13" s="60">
        <v>3063.5725462745941</v>
      </c>
      <c r="P13" s="61">
        <v>3294.2341290087315</v>
      </c>
      <c r="Q13" s="61">
        <v>3366.7494278034055</v>
      </c>
      <c r="R13" s="62">
        <v>3701.6664319999727</v>
      </c>
      <c r="S13" s="61">
        <v>3543.3637978476168</v>
      </c>
      <c r="T13" s="58">
        <f t="shared" ref="T13:T14" si="2">+S13/O13-1</f>
        <v>0.1566116827089552</v>
      </c>
      <c r="U13" s="59">
        <f t="shared" ref="U13:U14" si="3">+S13/R13-1</f>
        <v>-4.2765234809887143E-2</v>
      </c>
      <c r="V13" s="518"/>
      <c r="W13" s="55">
        <v>4506.8350995332794</v>
      </c>
      <c r="X13" s="56">
        <v>5421.2165161690973</v>
      </c>
      <c r="Y13" s="56">
        <v>6409.0764520774492</v>
      </c>
      <c r="Z13" s="56">
        <v>8223.4231116102637</v>
      </c>
      <c r="AA13" s="56">
        <v>10119.795933401505</v>
      </c>
      <c r="AB13" s="56">
        <v>11843.561038072001</v>
      </c>
      <c r="AC13" s="56">
        <v>13426.222535086707</v>
      </c>
      <c r="AD13" s="71">
        <v>0.13363054337518276</v>
      </c>
      <c r="AE13" s="71">
        <v>0.1995371301223936</v>
      </c>
    </row>
    <row r="14" spans="1:32" x14ac:dyDescent="0.25">
      <c r="B14" s="50" t="s">
        <v>92</v>
      </c>
      <c r="C14" s="32">
        <v>455.00398869614799</v>
      </c>
      <c r="D14" s="14">
        <v>576.72283479151997</v>
      </c>
      <c r="E14" s="14">
        <v>600.91402759616426</v>
      </c>
      <c r="F14" s="33">
        <v>689.71249756559268</v>
      </c>
      <c r="G14" s="32">
        <v>675.61210949897952</v>
      </c>
      <c r="H14" s="14">
        <v>772.22694014014087</v>
      </c>
      <c r="I14" s="14">
        <v>802.67667791446911</v>
      </c>
      <c r="J14" s="33">
        <v>755.38760294189956</v>
      </c>
      <c r="K14" s="32">
        <v>949.05951222642727</v>
      </c>
      <c r="L14" s="14">
        <v>820.24618014240764</v>
      </c>
      <c r="M14" s="14">
        <v>831.19826197528096</v>
      </c>
      <c r="N14" s="33">
        <v>958.59912628638449</v>
      </c>
      <c r="O14" s="32">
        <v>915.51994380739484</v>
      </c>
      <c r="P14" s="14">
        <v>836.08957271570034</v>
      </c>
      <c r="Q14" s="14">
        <v>906.44678771374561</v>
      </c>
      <c r="R14" s="33">
        <v>1119.5172067924836</v>
      </c>
      <c r="S14" s="14">
        <v>1107.1241524935169</v>
      </c>
      <c r="T14" s="22">
        <f t="shared" si="2"/>
        <v>0.20928458192761279</v>
      </c>
      <c r="U14" s="23">
        <f t="shared" si="3"/>
        <v>-1.1069998945772319E-2</v>
      </c>
      <c r="V14" s="518"/>
      <c r="W14" s="66">
        <v>1172.3544552349799</v>
      </c>
      <c r="X14" s="8">
        <v>1470.7447910272813</v>
      </c>
      <c r="Y14" s="8">
        <v>1721.3605523474687</v>
      </c>
      <c r="Z14" s="8">
        <v>2322.3533486494248</v>
      </c>
      <c r="AA14" s="8">
        <v>3005.9033304954892</v>
      </c>
      <c r="AB14" s="8">
        <v>3559.1030806305002</v>
      </c>
      <c r="AC14" s="8">
        <v>3777.5735110293244</v>
      </c>
      <c r="AD14" s="70">
        <v>6.1383563625283299E-2</v>
      </c>
      <c r="AE14" s="70">
        <v>0.21532471827918021</v>
      </c>
    </row>
    <row r="15" spans="1:32" x14ac:dyDescent="0.25">
      <c r="B15" s="50" t="s">
        <v>93</v>
      </c>
      <c r="C15" s="32">
        <v>197.91683587033518</v>
      </c>
      <c r="D15" s="14">
        <v>271.23024806853698</v>
      </c>
      <c r="E15" s="14">
        <v>292.80211294519438</v>
      </c>
      <c r="F15" s="33">
        <v>364.45749847727609</v>
      </c>
      <c r="G15" s="32">
        <v>327.39613711659979</v>
      </c>
      <c r="H15" s="14">
        <v>351.48983162510501</v>
      </c>
      <c r="I15" s="14">
        <v>387.3589430420011</v>
      </c>
      <c r="J15" s="33">
        <v>433.46481299830998</v>
      </c>
      <c r="K15" s="32">
        <v>367.9620796560144</v>
      </c>
      <c r="L15" s="357">
        <v>463</v>
      </c>
      <c r="M15" s="14">
        <v>500.92945067506366</v>
      </c>
      <c r="N15" s="33">
        <v>463.3793287149544</v>
      </c>
      <c r="O15" s="32">
        <v>452.73903504475095</v>
      </c>
      <c r="P15" s="14">
        <v>509.65460120002217</v>
      </c>
      <c r="Q15" s="14">
        <v>515.6095524748049</v>
      </c>
      <c r="R15" s="33">
        <v>573.51083167617981</v>
      </c>
      <c r="S15" s="14">
        <v>532.35512870294474</v>
      </c>
      <c r="T15" s="24"/>
      <c r="U15" s="23"/>
      <c r="V15" s="518"/>
      <c r="W15" s="65">
        <v>668.58044944670246</v>
      </c>
      <c r="X15" s="5">
        <v>776.63094568014219</v>
      </c>
      <c r="Y15" s="5">
        <v>783.03706791850902</v>
      </c>
      <c r="Z15" s="5">
        <v>1126.4460759312924</v>
      </c>
      <c r="AA15" s="5">
        <v>1499.7097247820159</v>
      </c>
      <c r="AB15" s="5">
        <v>1795.4</v>
      </c>
      <c r="AC15" s="5">
        <v>2051.5146203957579</v>
      </c>
      <c r="AD15" s="68"/>
      <c r="AE15" s="68"/>
    </row>
    <row r="16" spans="1:32" s="2" customFormat="1" x14ac:dyDescent="0.25">
      <c r="B16" s="49" t="s">
        <v>94</v>
      </c>
      <c r="C16" s="34">
        <v>652.92082456648313</v>
      </c>
      <c r="D16" s="35">
        <v>847.95308286005695</v>
      </c>
      <c r="E16" s="35">
        <v>893.71614054135864</v>
      </c>
      <c r="F16" s="36">
        <v>1054.1699960428687</v>
      </c>
      <c r="G16" s="34">
        <v>1003.0082466155793</v>
      </c>
      <c r="H16" s="35">
        <v>1123.716771765246</v>
      </c>
      <c r="I16" s="35">
        <v>1190.0356209564702</v>
      </c>
      <c r="J16" s="36">
        <v>1188.8524159402095</v>
      </c>
      <c r="K16" s="34">
        <v>1317.0215918824417</v>
      </c>
      <c r="L16" s="35">
        <v>1283.2461801424076</v>
      </c>
      <c r="M16" s="35">
        <v>1332.1277126503446</v>
      </c>
      <c r="N16" s="36">
        <v>1421.9784550013389</v>
      </c>
      <c r="O16" s="34">
        <v>1368.2589788521459</v>
      </c>
      <c r="P16" s="35">
        <v>1345.7441739157225</v>
      </c>
      <c r="Q16" s="35">
        <v>1422.0563401885506</v>
      </c>
      <c r="R16" s="36">
        <v>1693.0280384686635</v>
      </c>
      <c r="S16" s="35">
        <v>1639.4792811964617</v>
      </c>
      <c r="T16" s="27">
        <f t="shared" ref="T16:T19" si="4">+S16/O16-1</f>
        <v>0.19822292894569338</v>
      </c>
      <c r="U16" s="26">
        <f t="shared" ref="U16:U19" si="5">+S16/R16-1</f>
        <v>-3.1628984314185593E-2</v>
      </c>
      <c r="V16" s="518"/>
      <c r="W16" s="45">
        <v>1840.9349046816824</v>
      </c>
      <c r="X16" s="9">
        <v>2247.3757367074236</v>
      </c>
      <c r="Y16" s="9">
        <v>2504.3976202659778</v>
      </c>
      <c r="Z16" s="9">
        <v>3448.7994245807172</v>
      </c>
      <c r="AA16" s="9">
        <v>4505.6130552775048</v>
      </c>
      <c r="AB16" s="9">
        <v>5354.5030806305003</v>
      </c>
      <c r="AC16" s="9">
        <v>5829.0881314250819</v>
      </c>
      <c r="AD16" s="69">
        <v>8.8632884069365092E-2</v>
      </c>
      <c r="AE16" s="69">
        <v>0.21178907169362016</v>
      </c>
      <c r="AF16" s="457"/>
    </row>
    <row r="17" spans="2:31" s="2" customFormat="1" x14ac:dyDescent="0.25">
      <c r="B17" s="73" t="s">
        <v>95</v>
      </c>
      <c r="C17" s="74">
        <v>919.27917543351668</v>
      </c>
      <c r="D17" s="75">
        <v>1230.7317322870431</v>
      </c>
      <c r="E17" s="75">
        <v>1268.0659417541651</v>
      </c>
      <c r="F17" s="76">
        <v>1356.5217088230193</v>
      </c>
      <c r="G17" s="74">
        <v>1155.8774060101807</v>
      </c>
      <c r="H17" s="75">
        <v>1394.0788055541293</v>
      </c>
      <c r="I17" s="75">
        <v>1414.8012934854601</v>
      </c>
      <c r="J17" s="76">
        <v>1649.4253730742298</v>
      </c>
      <c r="K17" s="74">
        <v>1463.5376594217844</v>
      </c>
      <c r="L17" s="75">
        <v>1631.1825851055416</v>
      </c>
      <c r="M17" s="75">
        <v>1577.0362525309374</v>
      </c>
      <c r="N17" s="76">
        <v>1818.0962120915985</v>
      </c>
      <c r="O17" s="74">
        <v>1695.3135674224482</v>
      </c>
      <c r="P17" s="13">
        <v>1948.489955093009</v>
      </c>
      <c r="Q17" s="13">
        <v>1944.6930876148549</v>
      </c>
      <c r="R17" s="31">
        <v>2008.6383935313092</v>
      </c>
      <c r="S17" s="13">
        <v>1903.8845166511551</v>
      </c>
      <c r="T17" s="27">
        <f t="shared" si="4"/>
        <v>0.12302794788920246</v>
      </c>
      <c r="U17" s="26">
        <f t="shared" si="5"/>
        <v>-5.2151685050682683E-2</v>
      </c>
      <c r="V17" s="518"/>
      <c r="W17" s="77">
        <v>2665.900194851597</v>
      </c>
      <c r="X17" s="78">
        <v>3173.8407794616737</v>
      </c>
      <c r="Y17" s="78">
        <v>3904.6788318114714</v>
      </c>
      <c r="Z17" s="78">
        <v>4774.623687029547</v>
      </c>
      <c r="AA17" s="78">
        <v>5614.1828781240001</v>
      </c>
      <c r="AB17" s="78">
        <v>6489.0579574415005</v>
      </c>
      <c r="AC17" s="78">
        <v>7597.1344036616247</v>
      </c>
      <c r="AD17" s="79">
        <v>0.17076075656704659</v>
      </c>
      <c r="AE17" s="79">
        <v>0.19069625375102972</v>
      </c>
    </row>
    <row r="18" spans="2:31" s="3" customFormat="1" x14ac:dyDescent="0.25">
      <c r="B18" s="51" t="s">
        <v>12</v>
      </c>
      <c r="C18" s="43">
        <v>170.06189094959799</v>
      </c>
      <c r="D18" s="7">
        <v>47.465550827337964</v>
      </c>
      <c r="E18" s="7">
        <v>112.85783371577568</v>
      </c>
      <c r="F18" s="44">
        <v>-104.33328960613167</v>
      </c>
      <c r="G18" s="43">
        <v>9.1607005812973714</v>
      </c>
      <c r="H18" s="7">
        <v>16.127444331593857</v>
      </c>
      <c r="I18" s="7">
        <v>35.114722402662842</v>
      </c>
      <c r="J18" s="44">
        <v>63.821071125780108</v>
      </c>
      <c r="K18" s="43">
        <v>56.750203726770124</v>
      </c>
      <c r="L18" s="7">
        <v>65.172940913195731</v>
      </c>
      <c r="M18" s="7">
        <v>79.659946595739598</v>
      </c>
      <c r="N18" s="44">
        <v>43.154284698907325</v>
      </c>
      <c r="O18" s="43">
        <v>85.833886292298303</v>
      </c>
      <c r="P18" s="7">
        <v>48.281229546956091</v>
      </c>
      <c r="Q18" s="7">
        <v>60.728955849387788</v>
      </c>
      <c r="R18" s="44">
        <v>76.399029651242287</v>
      </c>
      <c r="S18" s="7">
        <v>112.59859791791378</v>
      </c>
      <c r="T18" s="22">
        <f t="shared" si="4"/>
        <v>0.31181987419829804</v>
      </c>
      <c r="U18" s="23">
        <f t="shared" si="5"/>
        <v>0.47382235653935245</v>
      </c>
      <c r="V18" s="518"/>
      <c r="W18" s="67">
        <v>88.9767929961356</v>
      </c>
      <c r="X18" s="10">
        <v>153.37760951844223</v>
      </c>
      <c r="Y18" s="10">
        <v>371.38558625620163</v>
      </c>
      <c r="Z18" s="10">
        <v>226.05198588657998</v>
      </c>
      <c r="AA18" s="10">
        <v>124.22393844133417</v>
      </c>
      <c r="AB18" s="10">
        <v>244.7</v>
      </c>
      <c r="AC18" s="10">
        <v>271.24310133988445</v>
      </c>
      <c r="AD18" s="68">
        <v>0.10847201201423973</v>
      </c>
      <c r="AE18" s="68">
        <v>0.20414926662066679</v>
      </c>
    </row>
    <row r="19" spans="2:31" s="2" customFormat="1" x14ac:dyDescent="0.25">
      <c r="B19" s="54" t="s">
        <v>13</v>
      </c>
      <c r="C19" s="60">
        <v>749.21728448391866</v>
      </c>
      <c r="D19" s="61">
        <v>1183.2661814597052</v>
      </c>
      <c r="E19" s="61">
        <v>1155.2081080383894</v>
      </c>
      <c r="F19" s="62">
        <v>1460.854998429151</v>
      </c>
      <c r="G19" s="60">
        <v>1146.7167054288834</v>
      </c>
      <c r="H19" s="61">
        <v>1377.9513612225355</v>
      </c>
      <c r="I19" s="61">
        <v>1379.6865710827972</v>
      </c>
      <c r="J19" s="62">
        <v>1585.6043019484498</v>
      </c>
      <c r="K19" s="60">
        <v>1406.7874556950142</v>
      </c>
      <c r="L19" s="61">
        <v>1566.0096441923458</v>
      </c>
      <c r="M19" s="61">
        <v>1497.3763059351977</v>
      </c>
      <c r="N19" s="62">
        <v>1774.9419273926912</v>
      </c>
      <c r="O19" s="60">
        <v>1609.4796811301499</v>
      </c>
      <c r="P19" s="61">
        <v>1900.2087255460528</v>
      </c>
      <c r="Q19" s="61">
        <v>1883.9641317654671</v>
      </c>
      <c r="R19" s="62">
        <v>1932.239363880067</v>
      </c>
      <c r="S19" s="61">
        <v>1791.2859187332413</v>
      </c>
      <c r="T19" s="58">
        <f t="shared" si="4"/>
        <v>0.11295963517565499</v>
      </c>
      <c r="U19" s="59">
        <f t="shared" si="5"/>
        <v>-7.2948231871118541E-2</v>
      </c>
      <c r="V19" s="518"/>
      <c r="W19" s="55">
        <v>2576.9234018554616</v>
      </c>
      <c r="X19" s="56">
        <v>3020.4631699432316</v>
      </c>
      <c r="Y19" s="56">
        <v>3533.2932455552696</v>
      </c>
      <c r="Z19" s="56">
        <v>4548.571701142967</v>
      </c>
      <c r="AA19" s="56">
        <v>5489.9589396826659</v>
      </c>
      <c r="AB19" s="56">
        <v>6244.3579574415007</v>
      </c>
      <c r="AC19" s="56">
        <v>7325.8913023217401</v>
      </c>
      <c r="AD19" s="71">
        <v>0.17320168898891497</v>
      </c>
      <c r="AE19" s="71">
        <v>0.1902179440197902</v>
      </c>
    </row>
    <row r="20" spans="2:31" x14ac:dyDescent="0.25">
      <c r="B20" s="50" t="s">
        <v>14</v>
      </c>
      <c r="C20" s="32">
        <v>150.292180038704</v>
      </c>
      <c r="D20" s="14">
        <v>262.03953486402099</v>
      </c>
      <c r="E20" s="14">
        <v>264.13723727963128</v>
      </c>
      <c r="F20" s="33">
        <v>304.11212538657691</v>
      </c>
      <c r="G20" s="32">
        <v>254.47383883995786</v>
      </c>
      <c r="H20" s="14">
        <v>309.72829153837114</v>
      </c>
      <c r="I20" s="14">
        <v>306.93759436260319</v>
      </c>
      <c r="J20" s="33">
        <v>318.09943714152018</v>
      </c>
      <c r="K20" s="32">
        <v>309.67940038160958</v>
      </c>
      <c r="L20" s="14">
        <v>348.17323343431866</v>
      </c>
      <c r="M20" s="14">
        <v>330.91585815823089</v>
      </c>
      <c r="N20" s="33">
        <v>348.7876748131726</v>
      </c>
      <c r="O20" s="32">
        <v>348.47147059229246</v>
      </c>
      <c r="P20" s="14">
        <v>421.15798970462356</v>
      </c>
      <c r="Q20" s="14">
        <v>419.73524094934993</v>
      </c>
      <c r="R20" s="33">
        <v>395.44642169366978</v>
      </c>
      <c r="S20" s="14">
        <v>398.95307664939719</v>
      </c>
      <c r="T20" s="22"/>
      <c r="U20" s="23"/>
      <c r="V20" s="518"/>
      <c r="W20" s="65">
        <v>817.7981115501259</v>
      </c>
      <c r="X20" s="5">
        <v>529.26502451895078</v>
      </c>
      <c r="Y20" s="5">
        <v>638.3414344141645</v>
      </c>
      <c r="Z20" s="5">
        <v>980.58107756893378</v>
      </c>
      <c r="AA20" s="5">
        <v>1189.2391618824524</v>
      </c>
      <c r="AB20" s="5">
        <v>1337.5561667873317</v>
      </c>
      <c r="AC20" s="5">
        <v>1584.8091229399358</v>
      </c>
      <c r="AD20" s="68"/>
      <c r="AE20" s="68"/>
    </row>
    <row r="21" spans="2:31" s="2" customFormat="1" x14ac:dyDescent="0.25">
      <c r="B21" s="54" t="s">
        <v>15</v>
      </c>
      <c r="C21" s="60">
        <v>598.92510444521463</v>
      </c>
      <c r="D21" s="61">
        <v>921.2266465956842</v>
      </c>
      <c r="E21" s="61">
        <v>891.07087075875802</v>
      </c>
      <c r="F21" s="62">
        <v>1156.742873042574</v>
      </c>
      <c r="G21" s="60">
        <v>892.24286658892561</v>
      </c>
      <c r="H21" s="61">
        <v>1068.2230696841643</v>
      </c>
      <c r="I21" s="61">
        <v>1072.7489767201939</v>
      </c>
      <c r="J21" s="62">
        <v>1267.5048648069296</v>
      </c>
      <c r="K21" s="60">
        <v>1097.1080553134045</v>
      </c>
      <c r="L21" s="61">
        <v>1217.8364107580271</v>
      </c>
      <c r="M21" s="61">
        <v>1166.4604477769667</v>
      </c>
      <c r="N21" s="62">
        <v>1426.1542525795187</v>
      </c>
      <c r="O21" s="60">
        <v>1261.0082105378574</v>
      </c>
      <c r="P21" s="61">
        <v>1479.0507358414293</v>
      </c>
      <c r="Q21" s="61">
        <v>1464.2288908161172</v>
      </c>
      <c r="R21" s="62">
        <v>1536.7929421863973</v>
      </c>
      <c r="S21" s="61">
        <v>1392.3328420838441</v>
      </c>
      <c r="T21" s="58">
        <f>+S21/O21-1</f>
        <v>0.1041425665975424</v>
      </c>
      <c r="U21" s="59">
        <f>+S21/R21-1</f>
        <v>-9.400101740253286E-2</v>
      </c>
      <c r="V21" s="518"/>
      <c r="W21" s="55">
        <v>1759.1252903053357</v>
      </c>
      <c r="X21" s="56">
        <v>2491.1981454242809</v>
      </c>
      <c r="Y21" s="56">
        <v>2894.9518111411053</v>
      </c>
      <c r="Z21" s="56">
        <v>3567.9906235740332</v>
      </c>
      <c r="AA21" s="56">
        <v>4300.7197778002137</v>
      </c>
      <c r="AB21" s="56">
        <v>4906.8017906541691</v>
      </c>
      <c r="AC21" s="56">
        <v>5741.0821793818041</v>
      </c>
      <c r="AD21" s="71">
        <v>0.17002528822677587</v>
      </c>
      <c r="AE21" s="71">
        <v>0.21791271687607283</v>
      </c>
    </row>
    <row r="22" spans="2:31" x14ac:dyDescent="0.25">
      <c r="B22" s="50" t="s">
        <v>110</v>
      </c>
      <c r="C22" s="32">
        <v>0</v>
      </c>
      <c r="D22" s="14">
        <v>2.16264554832</v>
      </c>
      <c r="E22" s="14">
        <v>0</v>
      </c>
      <c r="F22" s="33">
        <v>4.9263492038400001</v>
      </c>
      <c r="G22" s="32">
        <v>0</v>
      </c>
      <c r="H22" s="14">
        <v>2.0937828969600001</v>
      </c>
      <c r="I22" s="14">
        <v>0</v>
      </c>
      <c r="J22" s="33">
        <v>-20.027337313550404</v>
      </c>
      <c r="K22" s="32">
        <v>0</v>
      </c>
      <c r="L22" s="14">
        <v>-1.11582144864</v>
      </c>
      <c r="M22" s="14">
        <v>0</v>
      </c>
      <c r="N22" s="33">
        <v>2.632159476</v>
      </c>
      <c r="O22" s="32">
        <v>0</v>
      </c>
      <c r="P22" s="14">
        <v>-1.1632305139199999</v>
      </c>
      <c r="Q22" s="14">
        <v>0</v>
      </c>
      <c r="R22" s="33">
        <v>3.5289297009599991</v>
      </c>
      <c r="S22" s="14">
        <v>0</v>
      </c>
      <c r="T22" s="22"/>
      <c r="U22" s="23"/>
      <c r="V22" s="518"/>
      <c r="W22" s="65">
        <v>2.2815720979200003</v>
      </c>
      <c r="X22" s="5">
        <v>-0.52164115056000004</v>
      </c>
      <c r="Y22" s="5">
        <v>8.3401910303999998</v>
      </c>
      <c r="Z22" s="5">
        <v>7.0889947521600005</v>
      </c>
      <c r="AA22" s="5">
        <v>-17.933554416590407</v>
      </c>
      <c r="AB22" s="5">
        <v>1.51633802736</v>
      </c>
      <c r="AC22" s="5">
        <v>2.3656991870399997</v>
      </c>
      <c r="AD22" s="69"/>
      <c r="AE22" s="69"/>
    </row>
    <row r="23" spans="2:31" s="2" customFormat="1" x14ac:dyDescent="0.25">
      <c r="B23" s="54" t="s">
        <v>111</v>
      </c>
      <c r="C23" s="55">
        <v>598.92510444521463</v>
      </c>
      <c r="D23" s="56">
        <v>923.38929214400423</v>
      </c>
      <c r="E23" s="56">
        <v>891.07087075875802</v>
      </c>
      <c r="F23" s="57">
        <v>1161.6692222464139</v>
      </c>
      <c r="G23" s="55">
        <v>892.24286658892561</v>
      </c>
      <c r="H23" s="56">
        <v>1070.3168525811243</v>
      </c>
      <c r="I23" s="56">
        <v>1072.7489767201939</v>
      </c>
      <c r="J23" s="57">
        <v>1247.4775274933793</v>
      </c>
      <c r="K23" s="55">
        <v>1097.1080553134045</v>
      </c>
      <c r="L23" s="56">
        <v>1216.7205893093872</v>
      </c>
      <c r="M23" s="56">
        <v>1166.4604477769667</v>
      </c>
      <c r="N23" s="57">
        <v>1428.7864120555187</v>
      </c>
      <c r="O23" s="55">
        <v>1261.0082105378574</v>
      </c>
      <c r="P23" s="56">
        <v>1477.8875053275092</v>
      </c>
      <c r="Q23" s="56">
        <v>1464.2288908161172</v>
      </c>
      <c r="R23" s="57">
        <v>1540.3218718873572</v>
      </c>
      <c r="S23" s="56">
        <v>1392.3328420838441</v>
      </c>
      <c r="T23" s="58">
        <f t="shared" ref="T23:T25" si="6">+S23/O23-1</f>
        <v>0.1041425665975424</v>
      </c>
      <c r="U23" s="59">
        <f t="shared" ref="U23:U25" si="7">+S23/R23-1</f>
        <v>-9.6076691829469429E-2</v>
      </c>
      <c r="V23" s="518"/>
      <c r="W23" s="55">
        <v>1761.4068624032557</v>
      </c>
      <c r="X23" s="56">
        <v>2490.6765042737211</v>
      </c>
      <c r="Y23" s="56">
        <v>2903.2920021715054</v>
      </c>
      <c r="Z23" s="56">
        <v>3575.0796183261932</v>
      </c>
      <c r="AA23" s="56">
        <v>4282.7862233836231</v>
      </c>
      <c r="AB23" s="56">
        <v>4908.3181286815288</v>
      </c>
      <c r="AC23" s="56">
        <v>5743.4478785688443</v>
      </c>
      <c r="AD23" s="71">
        <v>0.17014580717726369</v>
      </c>
      <c r="AE23" s="71">
        <v>0.21773325607382255</v>
      </c>
    </row>
    <row r="24" spans="2:31" x14ac:dyDescent="0.25">
      <c r="B24" s="50" t="s">
        <v>141</v>
      </c>
      <c r="C24" s="32">
        <v>7.6289559443286024</v>
      </c>
      <c r="D24" s="14">
        <v>11.713656565112339</v>
      </c>
      <c r="E24" s="14">
        <v>11.290790942529416</v>
      </c>
      <c r="F24" s="33">
        <v>14.654551356604225</v>
      </c>
      <c r="G24" s="32">
        <v>11.301785736871697</v>
      </c>
      <c r="H24" s="14">
        <v>13.52498599974731</v>
      </c>
      <c r="I24" s="14">
        <v>13.573562493169959</v>
      </c>
      <c r="J24" s="33">
        <v>16.035054030009146</v>
      </c>
      <c r="K24" s="32">
        <v>13.875693660239522</v>
      </c>
      <c r="L24" s="14">
        <v>15.38751338025955</v>
      </c>
      <c r="M24" s="14">
        <v>14.740995549994414</v>
      </c>
      <c r="N24" s="33">
        <v>18.021129631013356</v>
      </c>
      <c r="O24" s="516">
        <v>15.933951365346344</v>
      </c>
      <c r="P24" s="14">
        <v>18.686163153455468</v>
      </c>
      <c r="Q24" s="14">
        <v>18.399999999999999</v>
      </c>
      <c r="R24" s="33">
        <v>19.416671958312222</v>
      </c>
      <c r="S24" s="14">
        <v>17.589926690782981</v>
      </c>
      <c r="T24" s="22">
        <f t="shared" si="6"/>
        <v>0.10392747457721652</v>
      </c>
      <c r="U24" s="23">
        <f t="shared" si="7"/>
        <v>-9.4081275691904387E-2</v>
      </c>
      <c r="V24" s="518"/>
      <c r="W24" s="32">
        <v>23.648418312359933</v>
      </c>
      <c r="X24" s="14">
        <v>31.862524816148262</v>
      </c>
      <c r="Y24" s="14">
        <v>36.938485997425595</v>
      </c>
      <c r="Z24" s="14">
        <v>45.306780871398558</v>
      </c>
      <c r="AA24" s="14">
        <v>54.435388259798117</v>
      </c>
      <c r="AB24" s="14">
        <v>62.025332221506844</v>
      </c>
      <c r="AC24" s="14">
        <v>72.540868805254703</v>
      </c>
      <c r="AD24" s="108">
        <v>0.16953615897121588</v>
      </c>
      <c r="AE24" s="108">
        <v>0.20539700751052847</v>
      </c>
    </row>
    <row r="25" spans="2:31" x14ac:dyDescent="0.25">
      <c r="B25" s="53" t="s">
        <v>142</v>
      </c>
      <c r="C25" s="46">
        <v>7.5621298325611379</v>
      </c>
      <c r="D25" s="47">
        <v>11.624942626753892</v>
      </c>
      <c r="E25" s="47">
        <v>11.236407184668625</v>
      </c>
      <c r="F25" s="48">
        <v>14.592120125341799</v>
      </c>
      <c r="G25" s="46">
        <v>11.261770045543839</v>
      </c>
      <c r="H25" s="47">
        <v>13.486154675806615</v>
      </c>
      <c r="I25" s="47">
        <v>13.542463507533428</v>
      </c>
      <c r="J25" s="48">
        <v>16.004893781809201</v>
      </c>
      <c r="K25" s="46">
        <v>13.859303148437508</v>
      </c>
      <c r="L25" s="47">
        <v>15.377407602499012</v>
      </c>
      <c r="M25" s="47">
        <v>14.722197670783972</v>
      </c>
      <c r="N25" s="48">
        <v>17.99967767199427</v>
      </c>
      <c r="O25" s="517">
        <v>15.915838204313046</v>
      </c>
      <c r="P25" s="47">
        <v>18.663778313969878</v>
      </c>
      <c r="Q25" s="47">
        <v>18.399999999999999</v>
      </c>
      <c r="R25" s="48">
        <v>19.26446481825031</v>
      </c>
      <c r="S25" s="47">
        <v>17.451349902168754</v>
      </c>
      <c r="T25" s="28">
        <f t="shared" si="6"/>
        <v>9.6476960757216013E-2</v>
      </c>
      <c r="U25" s="29">
        <f t="shared" si="7"/>
        <v>-9.4117066484187495E-2</v>
      </c>
      <c r="V25" s="518"/>
      <c r="W25" s="46">
        <v>23.082470980281649</v>
      </c>
      <c r="X25" s="47">
        <v>31.487337675033793</v>
      </c>
      <c r="Y25" s="47">
        <v>36.615532160231204</v>
      </c>
      <c r="Z25" s="47">
        <v>45.01794178719819</v>
      </c>
      <c r="AA25" s="47">
        <v>54.295282010693086</v>
      </c>
      <c r="AB25" s="47">
        <v>61.958586093714764</v>
      </c>
      <c r="AC25" s="47">
        <v>71.968245040821472</v>
      </c>
      <c r="AD25" s="109">
        <v>0.16155402468298274</v>
      </c>
      <c r="AE25" s="109">
        <v>0.20867563927630672</v>
      </c>
    </row>
    <row r="26" spans="2:31" x14ac:dyDescent="0.25">
      <c r="Y26" s="1"/>
      <c r="Z26" s="1"/>
      <c r="AA26" s="1"/>
      <c r="AB26" s="1"/>
      <c r="AC26" s="1"/>
    </row>
    <row r="27" spans="2:31" x14ac:dyDescent="0.25">
      <c r="B27" s="21"/>
      <c r="C27" s="389"/>
      <c r="D27" s="389"/>
      <c r="E27" s="389"/>
      <c r="F27" s="389"/>
      <c r="G27" s="432"/>
      <c r="H27" s="432"/>
      <c r="I27" s="432"/>
      <c r="J27" s="432"/>
      <c r="K27" s="432"/>
      <c r="L27" s="432"/>
      <c r="M27" s="432"/>
      <c r="N27" s="432"/>
      <c r="O27" s="432"/>
      <c r="P27" s="432"/>
      <c r="Q27" s="432"/>
      <c r="R27" s="432"/>
      <c r="S27" s="432"/>
      <c r="T27" s="432"/>
      <c r="Y27" s="1"/>
      <c r="Z27" s="1"/>
      <c r="AA27" s="1"/>
      <c r="AB27" s="1"/>
      <c r="AC27" s="1"/>
    </row>
    <row r="28" spans="2:31" x14ac:dyDescent="0.25">
      <c r="M28" s="383"/>
      <c r="O28" s="383"/>
      <c r="P28" s="383"/>
      <c r="Q28" s="383"/>
      <c r="R28" s="383"/>
      <c r="S28" s="383"/>
      <c r="Y28" s="1"/>
      <c r="Z28" s="1"/>
      <c r="AA28" s="1"/>
      <c r="AB28" s="1"/>
      <c r="AC28" s="1"/>
    </row>
    <row r="29" spans="2:31" x14ac:dyDescent="0.25">
      <c r="Y29" s="1"/>
      <c r="Z29" s="1"/>
      <c r="AA29" s="1"/>
      <c r="AB29" s="1"/>
      <c r="AC29" s="1"/>
    </row>
    <row r="30" spans="2:31" x14ac:dyDescent="0.25">
      <c r="O30" s="433"/>
      <c r="P30" s="433"/>
      <c r="Q30" s="433"/>
      <c r="R30" s="433"/>
      <c r="S30" s="433"/>
    </row>
  </sheetData>
  <hyperlinks>
    <hyperlink ref="A1" location="Index!A1" display="Index" xr:uid="{00000000-0004-0000-01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B23"/>
  <sheetViews>
    <sheetView showGridLines="0" zoomScale="80" zoomScaleNormal="80" workbookViewId="0">
      <pane xSplit="2" ySplit="4" topLeftCell="N5" activePane="bottomRight" state="frozen"/>
      <selection pane="topRight" activeCell="C1" sqref="C1"/>
      <selection pane="bottomLeft" activeCell="A5" sqref="A5"/>
      <selection pane="bottomRight" activeCell="S4" sqref="S4"/>
    </sheetView>
  </sheetViews>
  <sheetFormatPr defaultColWidth="9.140625" defaultRowHeight="15" x14ac:dyDescent="0.25"/>
  <cols>
    <col min="1" max="1" width="7.28515625" style="205" bestFit="1" customWidth="1"/>
    <col min="2" max="2" width="28.42578125" style="20" bestFit="1" customWidth="1"/>
    <col min="3" max="3" width="9.28515625" style="205" bestFit="1" customWidth="1"/>
    <col min="4" max="4" width="8.7109375" style="205" bestFit="1" customWidth="1"/>
    <col min="5" max="9" width="10.42578125" style="205" bestFit="1" customWidth="1"/>
    <col min="10" max="10" width="10.42578125" style="147" bestFit="1" customWidth="1"/>
    <col min="11" max="14" width="10.42578125" style="205" bestFit="1" customWidth="1"/>
    <col min="15" max="16" width="10.42578125" style="204" bestFit="1" customWidth="1"/>
    <col min="17" max="19" width="10.42578125" style="204" customWidth="1"/>
    <col min="20" max="20" width="8.5703125" style="205" bestFit="1" customWidth="1"/>
    <col min="21" max="23" width="8.7109375" style="205" bestFit="1" customWidth="1"/>
    <col min="24" max="26" width="10.42578125" style="205" bestFit="1" customWidth="1"/>
    <col min="27" max="27" width="10.42578125" style="205" customWidth="1"/>
    <col min="28" max="28" width="10.140625" style="502" bestFit="1" customWidth="1"/>
    <col min="29" max="16384" width="9.140625" style="205"/>
  </cols>
  <sheetData>
    <row r="1" spans="1:28" x14ac:dyDescent="0.25">
      <c r="A1" s="218" t="s">
        <v>0</v>
      </c>
      <c r="B1" s="219"/>
      <c r="C1" s="220"/>
      <c r="D1" s="220"/>
      <c r="E1" s="220"/>
      <c r="F1" s="220"/>
      <c r="H1" s="220"/>
      <c r="I1" s="220"/>
      <c r="J1" s="197"/>
      <c r="K1" s="220"/>
    </row>
    <row r="4" spans="1:28" s="139" customFormat="1" ht="30" x14ac:dyDescent="0.25">
      <c r="B4" s="141" t="s">
        <v>161</v>
      </c>
      <c r="C4" s="105" t="s">
        <v>182</v>
      </c>
      <c r="D4" s="105" t="s">
        <v>183</v>
      </c>
      <c r="E4" s="105" t="s">
        <v>184</v>
      </c>
      <c r="F4" s="105" t="s">
        <v>185</v>
      </c>
      <c r="G4" s="105" t="s">
        <v>115</v>
      </c>
      <c r="H4" s="105" t="s">
        <v>114</v>
      </c>
      <c r="I4" s="105" t="s">
        <v>113</v>
      </c>
      <c r="J4" s="105" t="s">
        <v>112</v>
      </c>
      <c r="K4" s="105" t="s">
        <v>16</v>
      </c>
      <c r="L4" s="105" t="s">
        <v>17</v>
      </c>
      <c r="M4" s="105" t="s">
        <v>18</v>
      </c>
      <c r="N4" s="105" t="s">
        <v>99</v>
      </c>
      <c r="O4" s="105" t="s">
        <v>100</v>
      </c>
      <c r="P4" s="105" t="s">
        <v>132</v>
      </c>
      <c r="Q4" s="105" t="s">
        <v>175</v>
      </c>
      <c r="R4" s="105" t="s">
        <v>240</v>
      </c>
      <c r="S4" s="137" t="s">
        <v>253</v>
      </c>
      <c r="U4" s="138" t="s">
        <v>6</v>
      </c>
      <c r="V4" s="105" t="s">
        <v>7</v>
      </c>
      <c r="W4" s="105" t="s">
        <v>8</v>
      </c>
      <c r="X4" s="105" t="s">
        <v>9</v>
      </c>
      <c r="Y4" s="105" t="s">
        <v>10</v>
      </c>
      <c r="Z4" s="105" t="s">
        <v>98</v>
      </c>
      <c r="AA4" s="105" t="s">
        <v>239</v>
      </c>
      <c r="AB4" s="503" t="s">
        <v>250</v>
      </c>
    </row>
    <row r="5" spans="1:28" x14ac:dyDescent="0.25">
      <c r="B5" s="221" t="s">
        <v>19</v>
      </c>
      <c r="C5" s="223"/>
      <c r="D5" s="223"/>
      <c r="E5" s="223"/>
      <c r="F5" s="223"/>
      <c r="G5" s="147"/>
      <c r="H5" s="147"/>
      <c r="I5" s="147"/>
      <c r="K5" s="147"/>
      <c r="L5" s="147"/>
      <c r="M5" s="147"/>
      <c r="N5" s="147"/>
      <c r="O5" s="147"/>
      <c r="P5" s="147"/>
      <c r="Q5" s="147"/>
      <c r="R5" s="147"/>
      <c r="S5" s="148"/>
      <c r="U5" s="149"/>
      <c r="V5" s="147"/>
      <c r="W5" s="147"/>
      <c r="X5" s="147"/>
      <c r="Y5" s="147"/>
      <c r="Z5" s="147"/>
      <c r="AA5" s="148"/>
      <c r="AB5" s="232" t="s">
        <v>251</v>
      </c>
    </row>
    <row r="6" spans="1:28" x14ac:dyDescent="0.25">
      <c r="B6" s="162" t="s">
        <v>20</v>
      </c>
      <c r="C6" s="210">
        <v>785.1</v>
      </c>
      <c r="D6" s="210">
        <v>789.1</v>
      </c>
      <c r="E6" s="210">
        <v>789.30000000000007</v>
      </c>
      <c r="F6" s="210">
        <v>789.40000000000009</v>
      </c>
      <c r="G6" s="210">
        <v>789.60000000000014</v>
      </c>
      <c r="H6" s="210">
        <v>790.3</v>
      </c>
      <c r="I6" s="210">
        <v>790.39999999999986</v>
      </c>
      <c r="J6" s="210">
        <v>790.56874078999999</v>
      </c>
      <c r="K6" s="210">
        <v>790.90000000000009</v>
      </c>
      <c r="L6" s="210">
        <v>791.2</v>
      </c>
      <c r="M6" s="210">
        <v>791.4</v>
      </c>
      <c r="N6" s="210">
        <v>791.39705078999998</v>
      </c>
      <c r="O6" s="210">
        <v>791.39705078999998</v>
      </c>
      <c r="P6" s="210">
        <v>791.41580078999993</v>
      </c>
      <c r="Q6" s="210">
        <v>791.43780078999998</v>
      </c>
      <c r="R6" s="210">
        <v>791.53665078999995</v>
      </c>
      <c r="S6" s="211">
        <v>791.56905079000001</v>
      </c>
      <c r="U6" s="209">
        <v>781.07901002999995</v>
      </c>
      <c r="V6" s="210">
        <v>783.22661033999998</v>
      </c>
      <c r="W6" s="210">
        <v>785.04551072000004</v>
      </c>
      <c r="X6" s="210">
        <v>789.36451078000005</v>
      </c>
      <c r="Y6" s="210">
        <v>790.56874078999999</v>
      </c>
      <c r="Z6" s="210">
        <v>791.39705078999998</v>
      </c>
      <c r="AA6" s="211">
        <v>791.53665078999995</v>
      </c>
      <c r="AB6" s="232"/>
    </row>
    <row r="7" spans="1:28" x14ac:dyDescent="0.25">
      <c r="B7" s="162" t="s">
        <v>21</v>
      </c>
      <c r="C7" s="210">
        <v>23895.9</v>
      </c>
      <c r="D7" s="210">
        <v>24911.300000000003</v>
      </c>
      <c r="E7" s="210">
        <v>25866.100000000002</v>
      </c>
      <c r="F7" s="210">
        <v>27297.1</v>
      </c>
      <c r="G7" s="210">
        <v>28260.1</v>
      </c>
      <c r="H7" s="210">
        <v>29523.800000000003</v>
      </c>
      <c r="I7" s="210">
        <v>30698.400000000001</v>
      </c>
      <c r="J7" s="210">
        <v>31906.031371555771</v>
      </c>
      <c r="K7" s="210">
        <v>33095.800000000003</v>
      </c>
      <c r="L7" s="210">
        <v>34344.400000000001</v>
      </c>
      <c r="M7" s="210">
        <v>35522.6</v>
      </c>
      <c r="N7" s="210">
        <v>36941.754871802135</v>
      </c>
      <c r="O7" s="210">
        <v>38241.60760872985</v>
      </c>
      <c r="P7" s="210">
        <v>39692.280307329544</v>
      </c>
      <c r="Q7" s="210">
        <v>41177.243843815697</v>
      </c>
      <c r="R7" s="210">
        <v>42816.785906836813</v>
      </c>
      <c r="S7" s="211">
        <v>44306.499977963613</v>
      </c>
      <c r="U7" s="209">
        <v>17588.514130593168</v>
      </c>
      <c r="V7" s="210">
        <v>20196.110363336531</v>
      </c>
      <c r="W7" s="210">
        <v>23229.00241582319</v>
      </c>
      <c r="X7" s="210">
        <v>27297.068450691833</v>
      </c>
      <c r="Y7" s="210">
        <v>31906.0313715558</v>
      </c>
      <c r="Z7" s="210">
        <v>36941.754871802135</v>
      </c>
      <c r="AA7" s="211">
        <v>42816.785906836813</v>
      </c>
      <c r="AB7" s="232"/>
    </row>
    <row r="8" spans="1:28" x14ac:dyDescent="0.25">
      <c r="B8" s="498" t="s">
        <v>219</v>
      </c>
      <c r="C8" s="499">
        <v>24681</v>
      </c>
      <c r="D8" s="499">
        <v>25700.400000000001</v>
      </c>
      <c r="E8" s="499">
        <v>26655.4</v>
      </c>
      <c r="F8" s="499">
        <v>28086.5</v>
      </c>
      <c r="G8" s="499">
        <v>29049.699999999997</v>
      </c>
      <c r="H8" s="499">
        <v>30314.100000000002</v>
      </c>
      <c r="I8" s="499">
        <v>31488.800000000003</v>
      </c>
      <c r="J8" s="499">
        <v>32696.600112345772</v>
      </c>
      <c r="K8" s="499">
        <v>33886.700000000004</v>
      </c>
      <c r="L8" s="499">
        <v>35135.599999999999</v>
      </c>
      <c r="M8" s="499">
        <v>36314</v>
      </c>
      <c r="N8" s="499">
        <v>37733.151922592137</v>
      </c>
      <c r="O8" s="499">
        <v>39033.004659519851</v>
      </c>
      <c r="P8" s="499">
        <v>40483.69610811954</v>
      </c>
      <c r="Q8" s="499">
        <v>41968.681644605698</v>
      </c>
      <c r="R8" s="499">
        <v>43608.322557626816</v>
      </c>
      <c r="S8" s="500">
        <f>SUM(S6:S7)</f>
        <v>45098.069028753613</v>
      </c>
      <c r="T8" s="20"/>
      <c r="U8" s="501">
        <v>18369.593140623168</v>
      </c>
      <c r="V8" s="499">
        <v>20979.336973676531</v>
      </c>
      <c r="W8" s="499">
        <v>24014.04792654319</v>
      </c>
      <c r="X8" s="499">
        <v>28086.432961471834</v>
      </c>
      <c r="Y8" s="499">
        <v>32696.600112345801</v>
      </c>
      <c r="Z8" s="499">
        <v>37733.151922592137</v>
      </c>
      <c r="AA8" s="500">
        <v>43608.322557626816</v>
      </c>
      <c r="AB8" s="504">
        <v>0.15499022136814489</v>
      </c>
    </row>
    <row r="9" spans="1:28" x14ac:dyDescent="0.25">
      <c r="B9" s="162" t="s">
        <v>22</v>
      </c>
      <c r="C9" s="210">
        <v>64859.4</v>
      </c>
      <c r="D9" s="210">
        <v>69055</v>
      </c>
      <c r="E9" s="210">
        <v>72291.100000000006</v>
      </c>
      <c r="F9" s="210">
        <v>79725</v>
      </c>
      <c r="G9" s="210">
        <v>82909</v>
      </c>
      <c r="H9" s="210">
        <v>85712.299999999988</v>
      </c>
      <c r="I9" s="210">
        <v>91201.199999999983</v>
      </c>
      <c r="J9" s="210">
        <v>98406.907166782737</v>
      </c>
      <c r="K9" s="210">
        <v>106298.50000000003</v>
      </c>
      <c r="L9" s="210">
        <v>111444.1</v>
      </c>
      <c r="M9" s="210">
        <v>114145.80000000002</v>
      </c>
      <c r="N9" s="210">
        <v>123364.95691877308</v>
      </c>
      <c r="O9" s="358">
        <v>125343</v>
      </c>
      <c r="P9" s="358">
        <v>124080</v>
      </c>
      <c r="Q9" s="358">
        <v>133803.24186671659</v>
      </c>
      <c r="R9" s="358">
        <v>139184.75799978987</v>
      </c>
      <c r="S9" s="359">
        <v>143899.17914158016</v>
      </c>
      <c r="T9" s="284"/>
      <c r="U9" s="209">
        <v>36532.508839167109</v>
      </c>
      <c r="V9" s="210">
        <v>53520.354546158713</v>
      </c>
      <c r="W9" s="210">
        <v>63454.228487309992</v>
      </c>
      <c r="X9" s="210">
        <v>79724.973488312375</v>
      </c>
      <c r="Y9" s="210">
        <v>98406.907166782737</v>
      </c>
      <c r="Z9" s="210">
        <v>123364.95691877308</v>
      </c>
      <c r="AA9" s="359">
        <v>139184.75799978987</v>
      </c>
      <c r="AB9" s="504">
        <v>0.249737198373855</v>
      </c>
    </row>
    <row r="10" spans="1:28" x14ac:dyDescent="0.25">
      <c r="B10" s="162" t="s">
        <v>103</v>
      </c>
      <c r="C10" s="210">
        <v>198.3</v>
      </c>
      <c r="D10" s="210">
        <v>210</v>
      </c>
      <c r="E10" s="210">
        <v>282.10000000000002</v>
      </c>
      <c r="F10" s="210">
        <v>353.6</v>
      </c>
      <c r="G10" s="210">
        <v>361.9</v>
      </c>
      <c r="H10" s="210">
        <v>426.6</v>
      </c>
      <c r="I10" s="210">
        <v>455.7</v>
      </c>
      <c r="J10" s="210">
        <v>501.77606961036128</v>
      </c>
      <c r="K10" s="210">
        <v>505.9</v>
      </c>
      <c r="L10" s="210">
        <v>540.20000000000005</v>
      </c>
      <c r="M10" s="210">
        <v>560.6</v>
      </c>
      <c r="N10" s="210">
        <v>602.47762715652675</v>
      </c>
      <c r="O10" s="210">
        <v>577.6933418283345</v>
      </c>
      <c r="P10" s="210">
        <v>632.52095765667616</v>
      </c>
      <c r="Q10" s="210">
        <v>690.3638260381008</v>
      </c>
      <c r="R10" s="210">
        <v>755.7152155127402</v>
      </c>
      <c r="S10" s="211">
        <v>764.15841014949433</v>
      </c>
      <c r="U10" s="209">
        <v>427.49315794432539</v>
      </c>
      <c r="V10" s="210">
        <v>317.03005869572473</v>
      </c>
      <c r="W10" s="210">
        <v>285.22694121686999</v>
      </c>
      <c r="X10" s="210">
        <v>353.55537821683555</v>
      </c>
      <c r="Y10" s="210">
        <v>501.77606961036128</v>
      </c>
      <c r="Z10" s="210">
        <v>602.47762715652675</v>
      </c>
      <c r="AA10" s="211">
        <v>755.7152155127402</v>
      </c>
      <c r="AB10" s="232"/>
    </row>
    <row r="11" spans="1:28" x14ac:dyDescent="0.25">
      <c r="B11" s="162" t="s">
        <v>23</v>
      </c>
      <c r="C11" s="210">
        <v>2085</v>
      </c>
      <c r="D11" s="210">
        <v>2547.5</v>
      </c>
      <c r="E11" s="210">
        <v>2366.1999999999998</v>
      </c>
      <c r="F11" s="210">
        <v>2038.9</v>
      </c>
      <c r="G11" s="210">
        <v>2677.7000000000003</v>
      </c>
      <c r="H11" s="210">
        <v>2426.8000000000002</v>
      </c>
      <c r="I11" s="210">
        <v>2550.1999999999998</v>
      </c>
      <c r="J11" s="210">
        <v>2500.0261523127283</v>
      </c>
      <c r="K11" s="210">
        <v>3300.7</v>
      </c>
      <c r="L11" s="210">
        <v>3256.2999999999993</v>
      </c>
      <c r="M11" s="210">
        <v>3476.8</v>
      </c>
      <c r="N11" s="210">
        <v>3493.9486951505805</v>
      </c>
      <c r="O11" s="358">
        <v>4970</v>
      </c>
      <c r="P11" s="358">
        <v>3655</v>
      </c>
      <c r="Q11" s="358">
        <v>2438.1803148233371</v>
      </c>
      <c r="R11" s="358">
        <v>2635.9439946624866</v>
      </c>
      <c r="S11" s="359">
        <v>2965.4486598400808</v>
      </c>
      <c r="U11" s="209">
        <v>938.68406273727771</v>
      </c>
      <c r="V11" s="358">
        <v>1753.7717669866406</v>
      </c>
      <c r="W11" s="210">
        <v>1846.9662067098539</v>
      </c>
      <c r="X11" s="210">
        <v>2038.8683241186586</v>
      </c>
      <c r="Y11" s="210">
        <v>2500.0261523127283</v>
      </c>
      <c r="Z11" s="210">
        <v>3493.9486951505805</v>
      </c>
      <c r="AA11" s="359">
        <v>2635.9439946624866</v>
      </c>
      <c r="AB11" s="504"/>
    </row>
    <row r="12" spans="1:28" x14ac:dyDescent="0.25">
      <c r="B12" s="173" t="s">
        <v>24</v>
      </c>
      <c r="C12" s="213">
        <v>91823.7</v>
      </c>
      <c r="D12" s="213">
        <v>97512.9</v>
      </c>
      <c r="E12" s="213">
        <v>101594.8</v>
      </c>
      <c r="F12" s="213">
        <v>110204</v>
      </c>
      <c r="G12" s="213">
        <v>114998.29999999999</v>
      </c>
      <c r="H12" s="213">
        <v>118879.8</v>
      </c>
      <c r="I12" s="213">
        <v>125695.89999999998</v>
      </c>
      <c r="J12" s="213">
        <v>134105.30950105158</v>
      </c>
      <c r="K12" s="213">
        <v>143991.80000000005</v>
      </c>
      <c r="L12" s="213">
        <v>150376.20000000001</v>
      </c>
      <c r="M12" s="213">
        <v>154497.20000000001</v>
      </c>
      <c r="N12" s="213">
        <v>165194.53516367232</v>
      </c>
      <c r="O12" s="213">
        <v>169923.69800134818</v>
      </c>
      <c r="P12" s="213">
        <v>168851.2170657762</v>
      </c>
      <c r="Q12" s="213">
        <v>178900.46765218378</v>
      </c>
      <c r="R12" s="213">
        <v>186184.73976759191</v>
      </c>
      <c r="S12" s="214">
        <f>SUM(S8:S11)</f>
        <v>192726.85524032332</v>
      </c>
      <c r="U12" s="212">
        <v>56268.279200471879</v>
      </c>
      <c r="V12" s="213">
        <v>76570.493345517607</v>
      </c>
      <c r="W12" s="213">
        <v>89600.469561779901</v>
      </c>
      <c r="X12" s="213">
        <v>110203.8301521197</v>
      </c>
      <c r="Y12" s="213">
        <v>134105.30950105158</v>
      </c>
      <c r="Z12" s="213">
        <v>165194.53516367232</v>
      </c>
      <c r="AA12" s="214">
        <v>186184.73976759191</v>
      </c>
      <c r="AB12" s="505">
        <v>0.22071254587546107</v>
      </c>
    </row>
    <row r="13" spans="1:28" x14ac:dyDescent="0.25">
      <c r="B13" s="156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447"/>
      <c r="U13" s="209"/>
      <c r="V13" s="210"/>
      <c r="W13" s="210"/>
      <c r="X13" s="210"/>
      <c r="Y13" s="210"/>
      <c r="Z13" s="210"/>
      <c r="AA13" s="447"/>
      <c r="AB13" s="238"/>
    </row>
    <row r="14" spans="1:28" x14ac:dyDescent="0.25">
      <c r="B14" s="221" t="s">
        <v>25</v>
      </c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4"/>
      <c r="U14" s="225"/>
      <c r="V14" s="223"/>
      <c r="W14" s="223"/>
      <c r="X14" s="223"/>
      <c r="Y14" s="223"/>
      <c r="Z14" s="223"/>
      <c r="AA14" s="224"/>
      <c r="AB14" s="506"/>
    </row>
    <row r="15" spans="1:28" x14ac:dyDescent="0.25">
      <c r="B15" s="162" t="s">
        <v>26</v>
      </c>
      <c r="C15" s="210">
        <v>77593.8</v>
      </c>
      <c r="D15" s="210">
        <v>82074.900000000009</v>
      </c>
      <c r="E15" s="210">
        <v>84774.700000000012</v>
      </c>
      <c r="F15" s="210">
        <v>90534.2</v>
      </c>
      <c r="G15" s="210">
        <v>95918.3</v>
      </c>
      <c r="H15" s="210">
        <v>100817.9</v>
      </c>
      <c r="I15" s="210">
        <v>105528</v>
      </c>
      <c r="J15" s="210">
        <v>114762.74483970468</v>
      </c>
      <c r="K15" s="210">
        <v>119144</v>
      </c>
      <c r="L15" s="210">
        <v>124026.19999999998</v>
      </c>
      <c r="M15" s="210">
        <v>129932.4</v>
      </c>
      <c r="N15" s="210">
        <v>140043.66843149986</v>
      </c>
      <c r="O15" s="210">
        <v>144445.17925607553</v>
      </c>
      <c r="P15" s="210">
        <v>147145.55723518546</v>
      </c>
      <c r="Q15" s="210">
        <v>153170.82765371984</v>
      </c>
      <c r="R15" s="210">
        <v>162297.09296415022</v>
      </c>
      <c r="S15" s="211">
        <v>162272.51017948383</v>
      </c>
      <c r="U15" s="209">
        <v>47244.899896294293</v>
      </c>
      <c r="V15" s="210">
        <v>61807.982761171836</v>
      </c>
      <c r="W15" s="210">
        <v>75232.862971911018</v>
      </c>
      <c r="X15" s="210">
        <v>90534.236379052425</v>
      </c>
      <c r="Y15" s="210">
        <v>114762.74483970468</v>
      </c>
      <c r="Z15" s="210">
        <v>140043.66843149986</v>
      </c>
      <c r="AA15" s="211">
        <v>162297.09296415022</v>
      </c>
      <c r="AB15" s="232">
        <v>0.22836085478029866</v>
      </c>
    </row>
    <row r="16" spans="1:28" x14ac:dyDescent="0.25">
      <c r="B16" s="162" t="s">
        <v>27</v>
      </c>
      <c r="C16" s="210">
        <v>45</v>
      </c>
      <c r="D16" s="210">
        <v>45</v>
      </c>
      <c r="E16" s="210">
        <v>676.40000000000009</v>
      </c>
      <c r="F16" s="210">
        <v>675.2</v>
      </c>
      <c r="G16" s="210">
        <v>669.5</v>
      </c>
      <c r="H16" s="210">
        <v>668.2</v>
      </c>
      <c r="I16" s="210">
        <v>1248.4000000000001</v>
      </c>
      <c r="J16" s="210">
        <v>1230.8055743761843</v>
      </c>
      <c r="K16" s="210">
        <v>1522.9</v>
      </c>
      <c r="L16" s="210">
        <v>1527.1</v>
      </c>
      <c r="M16" s="210">
        <v>1874.7</v>
      </c>
      <c r="N16" s="210">
        <v>1821.563010371256</v>
      </c>
      <c r="O16" s="210">
        <v>1807.6106822099998</v>
      </c>
      <c r="P16" s="210">
        <v>2077.0695503715478</v>
      </c>
      <c r="Q16" s="210">
        <v>2048.7081103476612</v>
      </c>
      <c r="R16" s="210">
        <v>2300.1839983800005</v>
      </c>
      <c r="S16" s="211">
        <v>6408.8584204499994</v>
      </c>
      <c r="U16" s="209">
        <v>45</v>
      </c>
      <c r="V16" s="210">
        <v>45</v>
      </c>
      <c r="W16" s="210">
        <v>45</v>
      </c>
      <c r="X16" s="210">
        <v>675.17313080999998</v>
      </c>
      <c r="Y16" s="210">
        <v>1230.8055743761843</v>
      </c>
      <c r="Z16" s="210">
        <v>1821.563010371256</v>
      </c>
      <c r="AA16" s="211">
        <v>2300.1839983800005</v>
      </c>
      <c r="AB16" s="232"/>
    </row>
    <row r="17" spans="2:28" x14ac:dyDescent="0.25">
      <c r="B17" s="162" t="s">
        <v>28</v>
      </c>
      <c r="C17" s="210">
        <v>281.7</v>
      </c>
      <c r="D17" s="210">
        <v>291.10000000000002</v>
      </c>
      <c r="E17" s="210">
        <v>290.60000000000002</v>
      </c>
      <c r="F17" s="210">
        <v>327.3</v>
      </c>
      <c r="G17" s="210">
        <v>380.19999999999993</v>
      </c>
      <c r="H17" s="210">
        <v>409.5</v>
      </c>
      <c r="I17" s="210">
        <v>455.90000000000003</v>
      </c>
      <c r="J17" s="210">
        <v>561.14665711777366</v>
      </c>
      <c r="K17" s="210">
        <v>631.1</v>
      </c>
      <c r="L17" s="210">
        <v>646.9</v>
      </c>
      <c r="M17" s="210">
        <v>688.00000000000011</v>
      </c>
      <c r="N17" s="210">
        <v>714.81335909656366</v>
      </c>
      <c r="O17" s="210">
        <v>753.53587373656399</v>
      </c>
      <c r="P17" s="210">
        <v>770.8100279965638</v>
      </c>
      <c r="Q17" s="210">
        <v>802.1915058265638</v>
      </c>
      <c r="R17" s="210">
        <v>824.1348981565643</v>
      </c>
      <c r="S17" s="211">
        <v>841.52463818656429</v>
      </c>
      <c r="U17" s="209">
        <v>229.11623680000005</v>
      </c>
      <c r="V17" s="358">
        <v>318.55475199999995</v>
      </c>
      <c r="W17" s="210">
        <v>289.27467748855423</v>
      </c>
      <c r="X17" s="210">
        <v>327.32710493877346</v>
      </c>
      <c r="Y17" s="210">
        <v>561.14665711777366</v>
      </c>
      <c r="Z17" s="210">
        <v>714.81335909656366</v>
      </c>
      <c r="AA17" s="211">
        <v>824.1348981565643</v>
      </c>
      <c r="AB17" s="232">
        <v>0.23781879549001128</v>
      </c>
    </row>
    <row r="18" spans="2:28" x14ac:dyDescent="0.25">
      <c r="B18" s="162" t="s">
        <v>29</v>
      </c>
      <c r="C18" s="210">
        <v>11204.9</v>
      </c>
      <c r="D18" s="210">
        <v>12177.6</v>
      </c>
      <c r="E18" s="210">
        <v>12867.300000000001</v>
      </c>
      <c r="F18" s="210">
        <v>15302.300000000001</v>
      </c>
      <c r="G18" s="210">
        <v>14731.300000000001</v>
      </c>
      <c r="H18" s="210">
        <v>13391.3</v>
      </c>
      <c r="I18" s="210">
        <v>14809.699999999997</v>
      </c>
      <c r="J18" s="210">
        <v>13816.270803259999</v>
      </c>
      <c r="K18" s="210">
        <v>18936.900000000001</v>
      </c>
      <c r="L18" s="210">
        <v>20016.5</v>
      </c>
      <c r="M18" s="210">
        <v>17686.099999999999</v>
      </c>
      <c r="N18" s="210">
        <v>17978.215571639998</v>
      </c>
      <c r="O18" s="210">
        <v>18553.592209480001</v>
      </c>
      <c r="P18" s="210">
        <v>14149.410953940001</v>
      </c>
      <c r="Q18" s="210">
        <v>17977.988141000002</v>
      </c>
      <c r="R18" s="210">
        <v>15596.3180851</v>
      </c>
      <c r="S18" s="211">
        <v>17943.167024360002</v>
      </c>
      <c r="U18" s="209">
        <v>6791.4830126199995</v>
      </c>
      <c r="V18" s="358">
        <v>11920.553596039999</v>
      </c>
      <c r="W18" s="210">
        <v>11209.623608230002</v>
      </c>
      <c r="X18" s="210">
        <v>15302.263949839999</v>
      </c>
      <c r="Y18" s="210">
        <v>13816.270803259999</v>
      </c>
      <c r="Z18" s="210">
        <v>17978.215571639998</v>
      </c>
      <c r="AA18" s="211">
        <v>15596.3180851</v>
      </c>
      <c r="AB18" s="232">
        <v>0.14861965664193244</v>
      </c>
    </row>
    <row r="19" spans="2:28" x14ac:dyDescent="0.25">
      <c r="B19" s="175" t="s">
        <v>30</v>
      </c>
      <c r="C19" s="216">
        <v>2698.4</v>
      </c>
      <c r="D19" s="216">
        <v>2924.2000000000003</v>
      </c>
      <c r="E19" s="216">
        <v>2985.9</v>
      </c>
      <c r="F19" s="216">
        <v>3364.8</v>
      </c>
      <c r="G19" s="216">
        <v>3298.9000000000005</v>
      </c>
      <c r="H19" s="216">
        <v>3592.9</v>
      </c>
      <c r="I19" s="216">
        <v>3652.9999999999995</v>
      </c>
      <c r="J19" s="216">
        <v>3734.3419038004618</v>
      </c>
      <c r="K19" s="216">
        <v>3756.7000000000003</v>
      </c>
      <c r="L19" s="216">
        <v>4159.2999999999993</v>
      </c>
      <c r="M19" s="216">
        <v>4315.8999999999996</v>
      </c>
      <c r="N19" s="216">
        <v>4636.2765682826275</v>
      </c>
      <c r="O19" s="216">
        <v>4364.2350009697238</v>
      </c>
      <c r="P19" s="216">
        <v>4708.3591926929512</v>
      </c>
      <c r="Q19" s="216">
        <v>4900.7529430028226</v>
      </c>
      <c r="R19" s="216">
        <v>5167.0106235328676</v>
      </c>
      <c r="S19" s="434">
        <v>5260.7966790723294</v>
      </c>
      <c r="U19" s="209">
        <v>1957.7785687870169</v>
      </c>
      <c r="V19" s="358">
        <v>2478</v>
      </c>
      <c r="W19" s="210">
        <v>2823.7073140583293</v>
      </c>
      <c r="X19" s="210">
        <v>3364.8308420710709</v>
      </c>
      <c r="Y19" s="210">
        <v>3734.3419038004618</v>
      </c>
      <c r="Z19" s="210">
        <v>4636.2765682826275</v>
      </c>
      <c r="AA19" s="434">
        <v>5167.0106235328676</v>
      </c>
      <c r="AB19" s="507"/>
    </row>
    <row r="20" spans="2:28" x14ac:dyDescent="0.25">
      <c r="B20" s="173" t="s">
        <v>24</v>
      </c>
      <c r="C20" s="213">
        <v>91823.799999999988</v>
      </c>
      <c r="D20" s="213">
        <v>97512.800000000017</v>
      </c>
      <c r="E20" s="213">
        <v>101594.90000000001</v>
      </c>
      <c r="F20" s="213">
        <v>110203.8</v>
      </c>
      <c r="G20" s="213">
        <v>114998.2</v>
      </c>
      <c r="H20" s="213">
        <v>118879.79999999999</v>
      </c>
      <c r="I20" s="213">
        <v>125694.99999999999</v>
      </c>
      <c r="J20" s="213">
        <v>134105.30977825911</v>
      </c>
      <c r="K20" s="213">
        <v>143991.6</v>
      </c>
      <c r="L20" s="213">
        <v>150375.99999999997</v>
      </c>
      <c r="M20" s="213">
        <v>154497.1</v>
      </c>
      <c r="N20" s="213">
        <v>165194.53694089031</v>
      </c>
      <c r="O20" s="213">
        <v>169924.15302247199</v>
      </c>
      <c r="P20" s="213">
        <v>168851.206960187</v>
      </c>
      <c r="Q20" s="213">
        <v>178900.46835389701</v>
      </c>
      <c r="R20" s="213">
        <v>186184.74056931966</v>
      </c>
      <c r="S20" s="214">
        <f>SUM(S15:S19)</f>
        <v>192726.85694155272</v>
      </c>
      <c r="U20" s="212">
        <v>56268.27771450131</v>
      </c>
      <c r="V20" s="213">
        <v>76570.091109211833</v>
      </c>
      <c r="W20" s="213">
        <v>89600.468571687903</v>
      </c>
      <c r="X20" s="213">
        <v>110203.83140671226</v>
      </c>
      <c r="Y20" s="213">
        <v>134105.30977825899</v>
      </c>
      <c r="Z20" s="213">
        <v>165194.53694088999</v>
      </c>
      <c r="AA20" s="214">
        <v>186184.74056931966</v>
      </c>
      <c r="AB20" s="505">
        <v>0.2207125521244433</v>
      </c>
    </row>
    <row r="21" spans="2:28" x14ac:dyDescent="0.25">
      <c r="B21" s="217"/>
      <c r="C21" s="388"/>
      <c r="D21" s="388"/>
      <c r="E21" s="388"/>
      <c r="F21" s="388"/>
      <c r="G21" s="226"/>
      <c r="H21" s="226"/>
      <c r="I21" s="226"/>
      <c r="J21" s="215"/>
      <c r="K21" s="226"/>
      <c r="L21" s="204"/>
      <c r="N21" s="204"/>
    </row>
    <row r="22" spans="2:28" x14ac:dyDescent="0.25">
      <c r="C22" s="20"/>
      <c r="Q22" s="386"/>
      <c r="R22" s="386"/>
      <c r="S22" s="386"/>
    </row>
    <row r="23" spans="2:28" x14ac:dyDescent="0.25">
      <c r="M23" s="204"/>
      <c r="N23" s="204"/>
      <c r="Q23" s="387"/>
      <c r="R23" s="387"/>
      <c r="S23" s="387"/>
      <c r="T23" s="190"/>
    </row>
  </sheetData>
  <hyperlinks>
    <hyperlink ref="A1" location="Index!A1" display="Index" xr:uid="{00000000-0004-0000-02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E72"/>
  <sheetViews>
    <sheetView showGridLines="0" zoomScale="80" zoomScaleNormal="8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S3" sqref="S3"/>
    </sheetView>
  </sheetViews>
  <sheetFormatPr defaultColWidth="9.140625" defaultRowHeight="15" x14ac:dyDescent="0.25"/>
  <cols>
    <col min="1" max="1" width="6.42578125" style="143" bestFit="1" customWidth="1"/>
    <col min="2" max="2" width="51.140625" style="20" bestFit="1" customWidth="1"/>
    <col min="3" max="6" width="11.28515625" style="20" bestFit="1" customWidth="1"/>
    <col min="7" max="19" width="11.28515625" style="143" bestFit="1" customWidth="1"/>
    <col min="20" max="20" width="7.85546875" style="143" bestFit="1" customWidth="1"/>
    <col min="21" max="21" width="9.42578125" style="143" bestFit="1" customWidth="1"/>
    <col min="22" max="27" width="11.28515625" style="143" bestFit="1" customWidth="1"/>
    <col min="28" max="28" width="11.42578125" style="143" customWidth="1"/>
    <col min="29" max="30" width="12.140625" style="143" bestFit="1" customWidth="1"/>
    <col min="31" max="16384" width="9.140625" style="143"/>
  </cols>
  <sheetData>
    <row r="1" spans="1:31" x14ac:dyDescent="0.25">
      <c r="A1" s="142" t="s">
        <v>0</v>
      </c>
      <c r="P1" s="190"/>
      <c r="Q1" s="190"/>
      <c r="R1" s="190"/>
      <c r="S1" s="190"/>
      <c r="U1" s="244"/>
    </row>
    <row r="2" spans="1:31" x14ac:dyDescent="0.25">
      <c r="P2" s="190"/>
      <c r="Q2" s="190"/>
      <c r="R2" s="520"/>
      <c r="S2" s="510"/>
      <c r="T2" s="206"/>
    </row>
    <row r="3" spans="1:31" s="130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238</v>
      </c>
      <c r="S3" s="131" t="s">
        <v>252</v>
      </c>
      <c r="U3" s="136" t="s">
        <v>6</v>
      </c>
      <c r="V3" s="136" t="s">
        <v>7</v>
      </c>
      <c r="W3" s="136" t="s">
        <v>8</v>
      </c>
      <c r="X3" s="136" t="s">
        <v>9</v>
      </c>
      <c r="Y3" s="136" t="s">
        <v>10</v>
      </c>
      <c r="Z3" s="136" t="s">
        <v>98</v>
      </c>
      <c r="AA3" s="438" t="s">
        <v>239</v>
      </c>
      <c r="AB3" s="143"/>
    </row>
    <row r="4" spans="1:31" x14ac:dyDescent="0.25">
      <c r="B4" s="97" t="s">
        <v>31</v>
      </c>
      <c r="C4" s="144">
        <v>96156.307752620516</v>
      </c>
      <c r="D4" s="144">
        <v>101481.26270398004</v>
      </c>
      <c r="E4" s="144">
        <v>106126.21410938998</v>
      </c>
      <c r="F4" s="144">
        <v>113502.11984455099</v>
      </c>
      <c r="G4" s="144">
        <v>118935.84828877085</v>
      </c>
      <c r="H4" s="144">
        <v>125436.78761321009</v>
      </c>
      <c r="I4" s="144">
        <v>130887.32661099223</v>
      </c>
      <c r="J4" s="144">
        <v>141666.61783625529</v>
      </c>
      <c r="K4" s="144">
        <v>146500.31116819009</v>
      </c>
      <c r="L4" s="144">
        <v>153194.65728326049</v>
      </c>
      <c r="M4" s="144">
        <v>160794.79122399099</v>
      </c>
      <c r="N4" s="144">
        <v>173126.46641333701</v>
      </c>
      <c r="O4" s="144">
        <v>178414.81821337951</v>
      </c>
      <c r="P4" s="144">
        <v>183956</v>
      </c>
      <c r="Q4" s="144">
        <v>192380.49527570899</v>
      </c>
      <c r="R4" s="144">
        <v>204201.76</v>
      </c>
      <c r="S4" s="145">
        <v>207397</v>
      </c>
      <c r="T4" s="244"/>
      <c r="U4" s="146">
        <v>59416.107780759885</v>
      </c>
      <c r="V4" s="144">
        <v>77960.916545987318</v>
      </c>
      <c r="W4" s="144">
        <v>94542.930227910401</v>
      </c>
      <c r="X4" s="144">
        <v>113502.11984455099</v>
      </c>
      <c r="Y4" s="144">
        <v>141666.617836255</v>
      </c>
      <c r="Z4" s="144">
        <v>173126.46641333599</v>
      </c>
      <c r="AA4" s="145">
        <v>204201.76</v>
      </c>
      <c r="AB4" s="244"/>
    </row>
    <row r="5" spans="1:31" x14ac:dyDescent="0.25">
      <c r="B5" s="98" t="s">
        <v>32</v>
      </c>
      <c r="C5" s="147">
        <v>4624.8999999999996</v>
      </c>
      <c r="D5" s="147">
        <v>9016.4580797199997</v>
      </c>
      <c r="E5" s="147">
        <v>9508.9941367400006</v>
      </c>
      <c r="F5" s="147">
        <v>12871.985130710002</v>
      </c>
      <c r="G5" s="147">
        <v>10936.29934292</v>
      </c>
      <c r="H5" s="147">
        <v>11467.41705515001</v>
      </c>
      <c r="I5" s="147">
        <v>12024.121092629986</v>
      </c>
      <c r="J5" s="147">
        <v>15817.573573759939</v>
      </c>
      <c r="K5" s="8">
        <v>10682.141673730001</v>
      </c>
      <c r="L5" s="8">
        <v>12584.580700729999</v>
      </c>
      <c r="M5" s="8">
        <v>13624.221644279904</v>
      </c>
      <c r="N5" s="8">
        <v>18931.210158225957</v>
      </c>
      <c r="O5" s="8">
        <v>12109.2</v>
      </c>
      <c r="P5" s="8">
        <v>12940.252185133999</v>
      </c>
      <c r="Q5" s="8">
        <v>15942.166247090001</v>
      </c>
      <c r="R5" s="8">
        <v>20238.441567776001</v>
      </c>
      <c r="S5" s="456">
        <v>11454</v>
      </c>
      <c r="U5" s="149">
        <v>26723.699999999997</v>
      </c>
      <c r="V5" s="147">
        <v>29303.9</v>
      </c>
      <c r="W5" s="147">
        <v>26568.537617719005</v>
      </c>
      <c r="X5" s="147">
        <v>36022.353589999999</v>
      </c>
      <c r="Y5" s="147">
        <v>50245.411064459928</v>
      </c>
      <c r="Z5" s="8">
        <v>55822.2</v>
      </c>
      <c r="AA5" s="456">
        <v>61230.06</v>
      </c>
    </row>
    <row r="6" spans="1:31" x14ac:dyDescent="0.25">
      <c r="B6" s="150" t="s">
        <v>137</v>
      </c>
      <c r="C6" s="275"/>
      <c r="D6" s="275"/>
      <c r="E6" s="275"/>
      <c r="F6" s="275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2"/>
      <c r="T6" s="190"/>
      <c r="U6" s="153"/>
      <c r="V6" s="154"/>
      <c r="W6" s="154"/>
      <c r="X6" s="154"/>
      <c r="Y6" s="154"/>
      <c r="Z6" s="154"/>
      <c r="AA6" s="155"/>
    </row>
    <row r="7" spans="1:31" x14ac:dyDescent="0.25">
      <c r="B7" s="156" t="s">
        <v>129</v>
      </c>
      <c r="C7" s="157">
        <v>0.72692514126495889</v>
      </c>
      <c r="D7" s="157">
        <v>0.72076201982409405</v>
      </c>
      <c r="E7" s="157">
        <v>0.71622108478771251</v>
      </c>
      <c r="F7" s="157">
        <v>0.72084544210174795</v>
      </c>
      <c r="G7" s="157">
        <v>0.71099999999999997</v>
      </c>
      <c r="H7" s="157">
        <v>0.70879999999999999</v>
      </c>
      <c r="I7" s="157">
        <v>0.70109999999999995</v>
      </c>
      <c r="J7" s="157">
        <v>0.69910000000000005</v>
      </c>
      <c r="K7" s="157">
        <v>0.69799999999999995</v>
      </c>
      <c r="L7" s="157">
        <v>0.69699999999999995</v>
      </c>
      <c r="M7" s="157">
        <v>0.69299999999999995</v>
      </c>
      <c r="N7" s="157">
        <v>0.69299999999999995</v>
      </c>
      <c r="O7" s="157">
        <v>0.69199999999999995</v>
      </c>
      <c r="P7" s="157">
        <v>0.69</v>
      </c>
      <c r="Q7" s="157">
        <v>0.68608960168096667</v>
      </c>
      <c r="R7" s="157">
        <v>0.67970122685040646</v>
      </c>
      <c r="S7" s="158">
        <v>0.67459992188893758</v>
      </c>
      <c r="U7" s="159">
        <v>0.755</v>
      </c>
      <c r="V7" s="160">
        <v>0.73499999999999999</v>
      </c>
      <c r="W7" s="508">
        <v>0.73499999999999999</v>
      </c>
      <c r="X7" s="508">
        <v>0.72099999999999997</v>
      </c>
      <c r="Y7" s="508">
        <v>0.69910000000000005</v>
      </c>
      <c r="Z7" s="508">
        <v>0.69299999999999995</v>
      </c>
      <c r="AA7" s="509">
        <v>0.67970122685040646</v>
      </c>
      <c r="AB7" s="207"/>
    </row>
    <row r="8" spans="1:31" x14ac:dyDescent="0.25">
      <c r="B8" s="162" t="s">
        <v>143</v>
      </c>
      <c r="C8" s="160">
        <v>0.27307485873504111</v>
      </c>
      <c r="D8" s="160">
        <v>0.27923798017590606</v>
      </c>
      <c r="E8" s="160">
        <v>0.28377891521228743</v>
      </c>
      <c r="F8" s="160">
        <v>0.27915455789825211</v>
      </c>
      <c r="G8" s="160">
        <v>0.28900000000000009</v>
      </c>
      <c r="H8" s="160">
        <v>0.29120000000000007</v>
      </c>
      <c r="I8" s="160">
        <v>0.29890000000000005</v>
      </c>
      <c r="J8" s="160">
        <v>0.30089999999999995</v>
      </c>
      <c r="K8" s="160">
        <v>0.30200000000000005</v>
      </c>
      <c r="L8" s="160">
        <v>0.30300000000000005</v>
      </c>
      <c r="M8" s="160">
        <v>0.30700000000000005</v>
      </c>
      <c r="N8" s="160">
        <v>0.30700000000000005</v>
      </c>
      <c r="O8" s="160">
        <v>0.308</v>
      </c>
      <c r="P8" s="160">
        <v>0.31</v>
      </c>
      <c r="Q8" s="160">
        <v>0.31391039831903333</v>
      </c>
      <c r="R8" s="160">
        <v>0.32029877314959349</v>
      </c>
      <c r="S8" s="161">
        <v>0.32540489978157827</v>
      </c>
      <c r="T8" s="206"/>
      <c r="U8" s="159">
        <v>0.245</v>
      </c>
      <c r="V8" s="160">
        <v>0.26500000000000001</v>
      </c>
      <c r="W8" s="508">
        <v>0.26500000000000001</v>
      </c>
      <c r="X8" s="508">
        <v>0.27900000000000003</v>
      </c>
      <c r="Y8" s="508">
        <v>0.30089999999999995</v>
      </c>
      <c r="Z8" s="508">
        <v>0.30700000000000005</v>
      </c>
      <c r="AA8" s="509">
        <v>0.32029877314959349</v>
      </c>
      <c r="AB8" s="207"/>
    </row>
    <row r="9" spans="1:31" s="163" customFormat="1" x14ac:dyDescent="0.25">
      <c r="B9" s="483" t="s">
        <v>158</v>
      </c>
      <c r="C9" s="484">
        <v>4.6565371850064464E-2</v>
      </c>
      <c r="D9" s="484">
        <v>5.2769047623014688E-2</v>
      </c>
      <c r="E9" s="484">
        <v>6.6674364128135877E-2</v>
      </c>
      <c r="F9" s="484">
        <v>6.9201782176820423E-2</v>
      </c>
      <c r="G9" s="435">
        <v>7.6100000000000001E-2</v>
      </c>
      <c r="H9" s="435">
        <v>9.4299999999999995E-2</v>
      </c>
      <c r="I9" s="435">
        <v>0.1</v>
      </c>
      <c r="J9" s="435">
        <v>0.1041</v>
      </c>
      <c r="K9" s="435">
        <v>0.104</v>
      </c>
      <c r="L9" s="435">
        <v>0.12</v>
      </c>
      <c r="M9" s="435">
        <v>0.13200000000000001</v>
      </c>
      <c r="N9" s="435">
        <v>0.17</v>
      </c>
      <c r="O9" s="435">
        <v>0.17299999999999999</v>
      </c>
      <c r="P9" s="435">
        <v>0.17899999999999999</v>
      </c>
      <c r="Q9" s="435">
        <v>0.18404745695075322</v>
      </c>
      <c r="R9" s="435">
        <v>0.192</v>
      </c>
      <c r="S9" s="485">
        <v>0.19752937602761853</v>
      </c>
      <c r="U9" s="486">
        <v>0</v>
      </c>
      <c r="V9" s="487">
        <v>0</v>
      </c>
      <c r="W9" s="487">
        <v>0</v>
      </c>
      <c r="X9" s="487">
        <v>0</v>
      </c>
      <c r="Y9" s="435">
        <v>0.1041</v>
      </c>
      <c r="Z9" s="435">
        <v>0.17</v>
      </c>
      <c r="AA9" s="485">
        <v>0.192</v>
      </c>
      <c r="AB9" s="207"/>
    </row>
    <row r="10" spans="1:31" s="163" customFormat="1" x14ac:dyDescent="0.25">
      <c r="B10" s="483" t="s">
        <v>159</v>
      </c>
      <c r="C10" s="484">
        <v>0.22650948688497716</v>
      </c>
      <c r="D10" s="484">
        <v>0.22646893255289158</v>
      </c>
      <c r="E10" s="484">
        <v>0.21709659242844229</v>
      </c>
      <c r="F10" s="484">
        <v>0.2099397908273887</v>
      </c>
      <c r="G10" s="435">
        <v>0.21290000000000009</v>
      </c>
      <c r="H10" s="435">
        <v>0.19690000000000007</v>
      </c>
      <c r="I10" s="435">
        <v>0.19890000000000008</v>
      </c>
      <c r="J10" s="435">
        <v>0.19679999999999997</v>
      </c>
      <c r="K10" s="435">
        <v>0.19800000000000006</v>
      </c>
      <c r="L10" s="435">
        <v>0.18300000000000005</v>
      </c>
      <c r="M10" s="435">
        <v>0.17500000000000004</v>
      </c>
      <c r="N10" s="435">
        <v>0.13700000000000001</v>
      </c>
      <c r="O10" s="435">
        <v>0.13500000000000001</v>
      </c>
      <c r="P10" s="435">
        <v>0.13100000000000001</v>
      </c>
      <c r="Q10" s="435">
        <v>0.12986294136828039</v>
      </c>
      <c r="R10" s="435">
        <v>0.128</v>
      </c>
      <c r="S10" s="485">
        <v>0.12787552375395977</v>
      </c>
      <c r="U10" s="488">
        <v>0.245</v>
      </c>
      <c r="V10" s="435">
        <v>0.26500000000000001</v>
      </c>
      <c r="W10" s="435">
        <v>0.26500000000000001</v>
      </c>
      <c r="X10" s="435">
        <v>0.27900000000000003</v>
      </c>
      <c r="Y10" s="435">
        <v>0.19679999999999997</v>
      </c>
      <c r="Z10" s="435">
        <v>0.13700000000000001</v>
      </c>
      <c r="AA10" s="485">
        <v>0.128</v>
      </c>
      <c r="AB10" s="207"/>
    </row>
    <row r="11" spans="1:31" x14ac:dyDescent="0.25">
      <c r="B11" s="165" t="s">
        <v>138</v>
      </c>
      <c r="C11" s="407"/>
      <c r="D11" s="407"/>
      <c r="E11" s="407"/>
      <c r="F11" s="407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7"/>
      <c r="U11" s="153"/>
      <c r="V11" s="154"/>
      <c r="W11" s="154"/>
      <c r="X11" s="154"/>
      <c r="Y11" s="154"/>
      <c r="Z11" s="154"/>
      <c r="AA11" s="155"/>
      <c r="AB11" s="207"/>
      <c r="AC11" s="207"/>
      <c r="AD11" s="207"/>
    </row>
    <row r="12" spans="1:31" x14ac:dyDescent="0.25">
      <c r="B12" s="489" t="s">
        <v>129</v>
      </c>
      <c r="C12" s="174">
        <v>0.57536575292084446</v>
      </c>
      <c r="D12" s="174">
        <v>0.64963400599372334</v>
      </c>
      <c r="E12" s="174">
        <v>0.66739792866746006</v>
      </c>
      <c r="F12" s="174">
        <v>0.75400901401132292</v>
      </c>
      <c r="G12" s="174">
        <v>0.62519999999999998</v>
      </c>
      <c r="H12" s="174">
        <v>0.65252692155352299</v>
      </c>
      <c r="I12" s="174">
        <v>0.65176670964847239</v>
      </c>
      <c r="J12" s="174">
        <v>0.66290000000000004</v>
      </c>
      <c r="K12" s="174">
        <v>0.66779999999999995</v>
      </c>
      <c r="L12" s="174">
        <v>0.66863111247393159</v>
      </c>
      <c r="M12" s="174">
        <v>0.65899608186520398</v>
      </c>
      <c r="N12" s="174">
        <v>0.66449999999999998</v>
      </c>
      <c r="O12" s="174">
        <v>0.66600000000000004</v>
      </c>
      <c r="P12" s="174">
        <v>0.65600000000000003</v>
      </c>
      <c r="Q12" s="174">
        <v>0.6476674782176558</v>
      </c>
      <c r="R12" s="174">
        <v>0.61454745563372837</v>
      </c>
      <c r="S12" s="384">
        <v>0.56774925790116992</v>
      </c>
      <c r="T12" s="510"/>
      <c r="U12" s="186">
        <v>0.72299999999999998</v>
      </c>
      <c r="V12" s="180">
        <v>0.70099999999999996</v>
      </c>
      <c r="W12" s="180">
        <v>0.73199999999999998</v>
      </c>
      <c r="X12" s="180">
        <v>0.68200000000000005</v>
      </c>
      <c r="Y12" s="180">
        <v>0.66290000000000004</v>
      </c>
      <c r="Z12" s="180">
        <v>0.66449999999999998</v>
      </c>
      <c r="AA12" s="184">
        <v>0.63670000000000004</v>
      </c>
      <c r="AB12" s="207"/>
      <c r="AC12" s="207"/>
      <c r="AD12" s="207"/>
      <c r="AE12" s="490"/>
    </row>
    <row r="13" spans="1:31" x14ac:dyDescent="0.25">
      <c r="B13" s="491" t="s">
        <v>143</v>
      </c>
      <c r="C13" s="180">
        <v>0.42463424707915559</v>
      </c>
      <c r="D13" s="180">
        <v>0.35036599400627655</v>
      </c>
      <c r="E13" s="180">
        <v>0.33260207133253994</v>
      </c>
      <c r="F13" s="180">
        <v>0.24599098598867711</v>
      </c>
      <c r="G13" s="180">
        <v>0.37480000000000002</v>
      </c>
      <c r="H13" s="180">
        <v>0.34747307844647701</v>
      </c>
      <c r="I13" s="180">
        <v>0.34823329035152772</v>
      </c>
      <c r="J13" s="180">
        <v>0.33709999999999996</v>
      </c>
      <c r="K13" s="180">
        <v>0.33220000000000011</v>
      </c>
      <c r="L13" s="180">
        <v>0.3313688875260683</v>
      </c>
      <c r="M13" s="180">
        <v>0.34100391813479597</v>
      </c>
      <c r="N13" s="180">
        <v>0.33550000000000002</v>
      </c>
      <c r="O13" s="180">
        <v>0.33399999999999996</v>
      </c>
      <c r="P13" s="180">
        <v>0.34399999999999997</v>
      </c>
      <c r="Q13" s="180">
        <f>+SUM(Q14:Q15)</f>
        <v>0.35233252178234425</v>
      </c>
      <c r="R13" s="180">
        <v>0.38545254436627163</v>
      </c>
      <c r="S13" s="184">
        <v>0.43233804784354812</v>
      </c>
      <c r="T13" s="510"/>
      <c r="U13" s="186">
        <v>0.27700000000000002</v>
      </c>
      <c r="V13" s="180">
        <v>0.29900000000000004</v>
      </c>
      <c r="W13" s="180">
        <v>0.26800000000000002</v>
      </c>
      <c r="X13" s="180">
        <v>0.31799999999999995</v>
      </c>
      <c r="Y13" s="180">
        <v>0.33709999999999996</v>
      </c>
      <c r="Z13" s="180">
        <v>0.33550000000000002</v>
      </c>
      <c r="AA13" s="184">
        <v>0.36330000000000001</v>
      </c>
      <c r="AB13" s="207"/>
      <c r="AC13" s="207"/>
      <c r="AD13" s="207"/>
      <c r="AE13" s="490"/>
    </row>
    <row r="14" spans="1:31" x14ac:dyDescent="0.25">
      <c r="B14" s="483" t="s">
        <v>158</v>
      </c>
      <c r="C14" s="484">
        <v>0.15008177414324847</v>
      </c>
      <c r="D14" s="484">
        <v>0.11540364828185644</v>
      </c>
      <c r="E14" s="484">
        <v>0.12773503721331714</v>
      </c>
      <c r="F14" s="484">
        <v>9.1523549479387012E-2</v>
      </c>
      <c r="G14" s="435">
        <v>0.14249999999999999</v>
      </c>
      <c r="H14" s="435">
        <v>0.13789734107224405</v>
      </c>
      <c r="I14" s="435">
        <v>0.14243404775970814</v>
      </c>
      <c r="J14" s="435">
        <v>0.1411</v>
      </c>
      <c r="K14" s="435">
        <v>0.1114</v>
      </c>
      <c r="L14" s="435">
        <v>0.12605415930540226</v>
      </c>
      <c r="M14" s="435">
        <v>0.18574105028391921</v>
      </c>
      <c r="N14" s="435">
        <v>0.24629999999999999</v>
      </c>
      <c r="O14" s="435">
        <v>0.22</v>
      </c>
      <c r="P14" s="435">
        <v>0.23</v>
      </c>
      <c r="Q14" s="435">
        <v>0.23789487427020908</v>
      </c>
      <c r="R14" s="435">
        <v>0.27090676869522784</v>
      </c>
      <c r="S14" s="485">
        <v>0.31246726034573075</v>
      </c>
      <c r="T14" s="510"/>
      <c r="U14" s="486">
        <v>0</v>
      </c>
      <c r="V14" s="487">
        <v>0</v>
      </c>
      <c r="W14" s="487">
        <v>0</v>
      </c>
      <c r="X14" s="487">
        <v>0</v>
      </c>
      <c r="Y14" s="435">
        <v>0.1411</v>
      </c>
      <c r="Z14" s="435">
        <v>0.24629999999999999</v>
      </c>
      <c r="AA14" s="485">
        <v>0.24879999999999999</v>
      </c>
      <c r="AB14" s="207"/>
      <c r="AC14" s="207"/>
      <c r="AD14" s="207"/>
      <c r="AE14" s="490"/>
    </row>
    <row r="15" spans="1:31" x14ac:dyDescent="0.25">
      <c r="B15" s="483" t="s">
        <v>159</v>
      </c>
      <c r="C15" s="484">
        <v>0.27455247293590718</v>
      </c>
      <c r="D15" s="484">
        <v>0.23496234574191016</v>
      </c>
      <c r="E15" s="484">
        <v>0.20486703411922616</v>
      </c>
      <c r="F15" s="484">
        <v>0.15446743650929223</v>
      </c>
      <c r="G15" s="435">
        <v>0.23230000000000006</v>
      </c>
      <c r="H15" s="435">
        <v>0.20957573737423299</v>
      </c>
      <c r="I15" s="435">
        <v>0.20579924259181956</v>
      </c>
      <c r="J15" s="435">
        <v>0.19599999999999995</v>
      </c>
      <c r="K15" s="435">
        <v>0.22080000000000011</v>
      </c>
      <c r="L15" s="435">
        <v>0.20531472822066607</v>
      </c>
      <c r="M15" s="435">
        <v>0.15526286785087676</v>
      </c>
      <c r="N15" s="435">
        <v>8.9200000000000057E-2</v>
      </c>
      <c r="O15" s="435">
        <v>0.11399999999999999</v>
      </c>
      <c r="P15" s="435">
        <v>0.11399999999999999</v>
      </c>
      <c r="Q15" s="435">
        <v>0.11443764751213516</v>
      </c>
      <c r="R15" s="435">
        <v>0.11454577567104378</v>
      </c>
      <c r="S15" s="485">
        <v>0.11987078749781736</v>
      </c>
      <c r="T15" s="510"/>
      <c r="U15" s="488">
        <v>0.27700000000000002</v>
      </c>
      <c r="V15" s="435">
        <v>0.29900000000000004</v>
      </c>
      <c r="W15" s="435">
        <v>0.26800000000000002</v>
      </c>
      <c r="X15" s="435">
        <v>0.31799999999999995</v>
      </c>
      <c r="Y15" s="435">
        <v>0.19599999999999995</v>
      </c>
      <c r="Z15" s="435">
        <v>8.9200000000000057E-2</v>
      </c>
      <c r="AA15" s="485">
        <v>0.1145</v>
      </c>
      <c r="AB15" s="207"/>
      <c r="AC15" s="207"/>
      <c r="AD15" s="207"/>
      <c r="AE15" s="490"/>
    </row>
    <row r="16" spans="1:31" x14ac:dyDescent="0.25">
      <c r="B16" s="150" t="s">
        <v>144</v>
      </c>
      <c r="C16" s="275"/>
      <c r="D16" s="275"/>
      <c r="E16" s="275"/>
      <c r="F16" s="275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2"/>
      <c r="U16" s="153"/>
      <c r="V16" s="154"/>
      <c r="W16" s="154"/>
      <c r="X16" s="154"/>
      <c r="Y16" s="154"/>
      <c r="Z16" s="154"/>
      <c r="AA16" s="155"/>
    </row>
    <row r="17" spans="2:27" x14ac:dyDescent="0.25">
      <c r="B17" s="477" t="s">
        <v>139</v>
      </c>
      <c r="C17" s="478">
        <v>8.4320411822162402</v>
      </c>
      <c r="D17" s="478">
        <v>8.5037978237654404</v>
      </c>
      <c r="E17" s="478">
        <v>8.5752600000000001</v>
      </c>
      <c r="F17" s="478">
        <v>8.6403808643270601</v>
      </c>
      <c r="G17" s="479">
        <v>8.6396447318148901</v>
      </c>
      <c r="H17" s="479">
        <v>8.6940490944520796</v>
      </c>
      <c r="I17" s="479">
        <v>8.7505478555002529</v>
      </c>
      <c r="J17" s="479">
        <v>8.8972974833336007</v>
      </c>
      <c r="K17" s="479">
        <v>8.9</v>
      </c>
      <c r="L17" s="479">
        <v>9.0231576384308401</v>
      </c>
      <c r="M17" s="479">
        <v>9.1216619667095795</v>
      </c>
      <c r="N17" s="479">
        <v>9.2932918572560403</v>
      </c>
      <c r="O17" s="479">
        <v>9.3429013862106398</v>
      </c>
      <c r="P17" s="479">
        <v>9.4230754568056998</v>
      </c>
      <c r="Q17" s="479">
        <v>9.530318516585</v>
      </c>
      <c r="R17" s="479">
        <v>9.68</v>
      </c>
      <c r="S17" s="480">
        <v>9.6999999999999993</v>
      </c>
      <c r="T17" s="481"/>
      <c r="U17" s="482">
        <v>8.5940000000000012</v>
      </c>
      <c r="V17" s="479">
        <v>8.3989999999999991</v>
      </c>
      <c r="W17" s="479">
        <v>8.4904710948435795</v>
      </c>
      <c r="X17" s="479">
        <v>8.6403808643270601</v>
      </c>
      <c r="Y17" s="479">
        <v>8.8972974833336007</v>
      </c>
      <c r="Z17" s="479">
        <v>9.2932918572560403</v>
      </c>
      <c r="AA17" s="480">
        <v>9.68</v>
      </c>
    </row>
    <row r="18" spans="2:27" x14ac:dyDescent="0.25">
      <c r="B18" s="168" t="s">
        <v>129</v>
      </c>
      <c r="C18" s="408">
        <v>9.2714282011518829</v>
      </c>
      <c r="D18" s="408">
        <v>9.3175774922384278</v>
      </c>
      <c r="E18" s="408">
        <v>9.3431517679711575</v>
      </c>
      <c r="F18" s="408">
        <v>9.3768744340006478</v>
      </c>
      <c r="G18" s="169">
        <v>9.4</v>
      </c>
      <c r="H18" s="169">
        <v>9.4</v>
      </c>
      <c r="I18" s="169">
        <v>9.5</v>
      </c>
      <c r="J18" s="169">
        <v>9.6999999999999993</v>
      </c>
      <c r="K18" s="169">
        <v>9.6999999999999993</v>
      </c>
      <c r="L18" s="169">
        <v>9.9</v>
      </c>
      <c r="M18" s="169">
        <v>10</v>
      </c>
      <c r="N18" s="169">
        <v>10.199999999999999</v>
      </c>
      <c r="O18" s="169">
        <v>10.3</v>
      </c>
      <c r="P18" s="169">
        <v>10.4</v>
      </c>
      <c r="Q18" s="169">
        <v>10.5394996379069</v>
      </c>
      <c r="R18" s="169">
        <v>10.705</v>
      </c>
      <c r="S18" s="170">
        <v>10.7</v>
      </c>
      <c r="T18" s="171"/>
      <c r="U18" s="172">
        <v>8.99</v>
      </c>
      <c r="V18" s="169">
        <v>9.16</v>
      </c>
      <c r="W18" s="169">
        <v>9.3000000000000007</v>
      </c>
      <c r="X18" s="169">
        <v>9.3800000000000008</v>
      </c>
      <c r="Y18" s="169">
        <v>9.68</v>
      </c>
      <c r="Z18" s="169">
        <v>10.220000000000001</v>
      </c>
      <c r="AA18" s="170">
        <v>10.705</v>
      </c>
    </row>
    <row r="19" spans="2:27" x14ac:dyDescent="0.25">
      <c r="B19" s="168" t="s">
        <v>143</v>
      </c>
      <c r="C19" s="408">
        <v>6.7172087882078033</v>
      </c>
      <c r="D19" s="408">
        <v>6.8649397637006881</v>
      </c>
      <c r="E19" s="408">
        <v>7.0278945911922843</v>
      </c>
      <c r="F19" s="408">
        <v>7.1021082662380204</v>
      </c>
      <c r="G19" s="169">
        <v>7.2</v>
      </c>
      <c r="H19" s="169">
        <v>7.3</v>
      </c>
      <c r="I19" s="169">
        <v>7.3</v>
      </c>
      <c r="J19" s="169">
        <v>7.4</v>
      </c>
      <c r="K19" s="169">
        <v>7.4</v>
      </c>
      <c r="L19" s="169">
        <v>7.4</v>
      </c>
      <c r="M19" s="169">
        <v>7.5</v>
      </c>
      <c r="N19" s="169">
        <v>7.6</v>
      </c>
      <c r="O19" s="360">
        <v>7.7</v>
      </c>
      <c r="P19" s="360">
        <v>7.7</v>
      </c>
      <c r="Q19" s="360">
        <v>7.81873556567888</v>
      </c>
      <c r="R19" s="360">
        <v>7.9859999999999998</v>
      </c>
      <c r="S19" s="519">
        <v>8.1</v>
      </c>
      <c r="T19" s="171"/>
      <c r="U19" s="172">
        <v>7.34</v>
      </c>
      <c r="V19" s="169">
        <v>6.73</v>
      </c>
      <c r="W19" s="169">
        <v>6.75</v>
      </c>
      <c r="X19" s="169">
        <v>7.1</v>
      </c>
      <c r="Y19" s="169">
        <v>7.4</v>
      </c>
      <c r="Z19" s="169">
        <v>7.64</v>
      </c>
      <c r="AA19" s="170">
        <v>7.9859999999999998</v>
      </c>
    </row>
    <row r="20" spans="2:27" s="163" customFormat="1" x14ac:dyDescent="0.25">
      <c r="B20" s="483" t="s">
        <v>158</v>
      </c>
      <c r="C20" s="492">
        <v>8.6565359217577704</v>
      </c>
      <c r="D20" s="492">
        <v>8.4699752800936103</v>
      </c>
      <c r="E20" s="492">
        <v>7.8734387763412403</v>
      </c>
      <c r="F20" s="492">
        <v>7.9978219001580371</v>
      </c>
      <c r="G20" s="436">
        <v>7.88</v>
      </c>
      <c r="H20" s="436">
        <v>7.86</v>
      </c>
      <c r="I20" s="436">
        <v>7.86</v>
      </c>
      <c r="J20" s="436">
        <v>7.93</v>
      </c>
      <c r="K20" s="436">
        <v>7.8</v>
      </c>
      <c r="L20" s="436">
        <v>7.9</v>
      </c>
      <c r="M20" s="436">
        <v>8.1</v>
      </c>
      <c r="N20" s="436">
        <v>8.5</v>
      </c>
      <c r="O20" s="436">
        <v>8.5</v>
      </c>
      <c r="P20" s="436">
        <v>8.1999999999999993</v>
      </c>
      <c r="Q20" s="436">
        <v>8.2828277265407699</v>
      </c>
      <c r="R20" s="436">
        <v>8.43</v>
      </c>
      <c r="S20" s="493">
        <v>8.5</v>
      </c>
      <c r="T20" s="494"/>
      <c r="U20" s="495">
        <v>0</v>
      </c>
      <c r="V20" s="436">
        <v>0</v>
      </c>
      <c r="W20" s="436">
        <v>0</v>
      </c>
      <c r="X20" s="436">
        <v>0</v>
      </c>
      <c r="Y20" s="436">
        <v>7.93</v>
      </c>
      <c r="Z20" s="436">
        <v>8.51</v>
      </c>
      <c r="AA20" s="493">
        <v>8.43</v>
      </c>
    </row>
    <row r="21" spans="2:27" s="163" customFormat="1" x14ac:dyDescent="0.25">
      <c r="B21" s="483" t="s">
        <v>159</v>
      </c>
      <c r="C21" s="492">
        <v>6.4219504647937127</v>
      </c>
      <c r="D21" s="492">
        <v>6.5769633866057804</v>
      </c>
      <c r="E21" s="492">
        <v>6.8051110973107196</v>
      </c>
      <c r="F21" s="492">
        <v>6.8508416505109411</v>
      </c>
      <c r="G21" s="436">
        <v>6.97</v>
      </c>
      <c r="H21" s="436">
        <v>7.02</v>
      </c>
      <c r="I21" s="436">
        <v>7.06</v>
      </c>
      <c r="J21" s="436">
        <v>7.15</v>
      </c>
      <c r="K21" s="436">
        <v>7.2</v>
      </c>
      <c r="L21" s="436">
        <v>7.2</v>
      </c>
      <c r="M21" s="436">
        <v>7.1</v>
      </c>
      <c r="N21" s="436">
        <v>6.8</v>
      </c>
      <c r="O21" s="436">
        <v>6.9</v>
      </c>
      <c r="P21" s="436">
        <v>7.2</v>
      </c>
      <c r="Q21" s="436">
        <v>7.2637955857860916</v>
      </c>
      <c r="R21" s="436">
        <v>7.42</v>
      </c>
      <c r="S21" s="493">
        <v>7.5</v>
      </c>
      <c r="T21" s="494"/>
      <c r="U21" s="495">
        <v>0</v>
      </c>
      <c r="V21" s="436">
        <v>0</v>
      </c>
      <c r="W21" s="436">
        <v>0</v>
      </c>
      <c r="X21" s="436">
        <v>0</v>
      </c>
      <c r="Y21" s="436">
        <v>7.15</v>
      </c>
      <c r="Z21" s="436">
        <v>6.81</v>
      </c>
      <c r="AA21" s="493">
        <v>7.42</v>
      </c>
    </row>
    <row r="22" spans="2:27" x14ac:dyDescent="0.25">
      <c r="B22" s="173" t="s">
        <v>104</v>
      </c>
      <c r="C22" s="409"/>
      <c r="D22" s="409"/>
      <c r="E22" s="409"/>
      <c r="F22" s="409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5"/>
      <c r="U22" s="153"/>
      <c r="V22" s="154"/>
      <c r="W22" s="154"/>
      <c r="X22" s="154"/>
      <c r="Y22" s="154"/>
      <c r="Z22" s="154"/>
      <c r="AA22" s="155"/>
    </row>
    <row r="23" spans="2:27" x14ac:dyDescent="0.25">
      <c r="B23" s="156" t="s">
        <v>34</v>
      </c>
      <c r="C23" s="157">
        <v>0.39737291064505176</v>
      </c>
      <c r="D23" s="157">
        <v>0.39807342568989951</v>
      </c>
      <c r="E23" s="157">
        <v>0.39749772427835645</v>
      </c>
      <c r="F23" s="157">
        <v>0.39969768385544541</v>
      </c>
      <c r="G23" s="157">
        <v>0.39862385892535712</v>
      </c>
      <c r="H23" s="157">
        <v>0.39785815712394923</v>
      </c>
      <c r="I23" s="157">
        <v>0.39658922852734796</v>
      </c>
      <c r="J23" s="157">
        <v>0.39900734960846601</v>
      </c>
      <c r="K23" s="157">
        <v>0.40180790880969919</v>
      </c>
      <c r="L23" s="174">
        <v>0.40140575007186891</v>
      </c>
      <c r="M23" s="174">
        <v>0.40229284137830373</v>
      </c>
      <c r="N23" s="157">
        <v>0.40157777018200019</v>
      </c>
      <c r="O23" s="157">
        <v>0.40177559651781397</v>
      </c>
      <c r="P23" s="157">
        <v>0.40107555260264699</v>
      </c>
      <c r="Q23" s="157">
        <v>0.39970472120702705</v>
      </c>
      <c r="R23" s="157">
        <v>0.39751456586439637</v>
      </c>
      <c r="S23" s="158">
        <v>0.39641625208416303</v>
      </c>
      <c r="U23" s="159">
        <v>0.35133069992813393</v>
      </c>
      <c r="V23" s="160">
        <v>0.34966732298995584</v>
      </c>
      <c r="W23" s="160">
        <v>0.39583096647064064</v>
      </c>
      <c r="X23" s="160">
        <v>0.3996976838554463</v>
      </c>
      <c r="Y23" s="160">
        <v>0.39900734960846601</v>
      </c>
      <c r="Z23" s="160">
        <v>0.40157777018200019</v>
      </c>
      <c r="AA23" s="161">
        <v>0.39751456586439637</v>
      </c>
    </row>
    <row r="24" spans="2:27" x14ac:dyDescent="0.25">
      <c r="B24" s="175" t="s">
        <v>33</v>
      </c>
      <c r="C24" s="176">
        <v>0.60262708935494758</v>
      </c>
      <c r="D24" s="176">
        <v>0.60192657431010055</v>
      </c>
      <c r="E24" s="176">
        <v>0.60250227572164561</v>
      </c>
      <c r="F24" s="176">
        <v>0.60030231614455165</v>
      </c>
      <c r="G24" s="176">
        <v>0.60137614107464288</v>
      </c>
      <c r="H24" s="176">
        <v>0.60214184287605077</v>
      </c>
      <c r="I24" s="176">
        <v>0.60341077147265199</v>
      </c>
      <c r="J24" s="176">
        <v>0.60099265039153393</v>
      </c>
      <c r="K24" s="176">
        <v>0.59819209119030081</v>
      </c>
      <c r="L24" s="177">
        <v>0.59859424992813115</v>
      </c>
      <c r="M24" s="177">
        <v>0.59770715862169621</v>
      </c>
      <c r="N24" s="176">
        <v>0.59842222981799975</v>
      </c>
      <c r="O24" s="176">
        <v>0.59822440348218597</v>
      </c>
      <c r="P24" s="176">
        <v>0.59892444739735307</v>
      </c>
      <c r="Q24" s="176">
        <v>0.60029527879297306</v>
      </c>
      <c r="R24" s="176">
        <v>0.60248543413560363</v>
      </c>
      <c r="S24" s="178">
        <v>0.60358374791583691</v>
      </c>
      <c r="U24" s="159">
        <v>0.64866930007186607</v>
      </c>
      <c r="V24" s="160">
        <v>0.65033267701004416</v>
      </c>
      <c r="W24" s="160">
        <v>0.60416903352935936</v>
      </c>
      <c r="X24" s="160">
        <v>0.60030231614455376</v>
      </c>
      <c r="Y24" s="160">
        <v>0.60099265039153393</v>
      </c>
      <c r="Z24" s="160">
        <v>0.59842222981799975</v>
      </c>
      <c r="AA24" s="161">
        <v>0.60248543413560363</v>
      </c>
    </row>
    <row r="25" spans="2:27" s="113" customFormat="1" x14ac:dyDescent="0.25">
      <c r="B25" s="112" t="s">
        <v>166</v>
      </c>
      <c r="C25" s="410"/>
      <c r="D25" s="410"/>
      <c r="E25" s="410"/>
      <c r="F25" s="410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2"/>
      <c r="T25" s="325"/>
      <c r="U25" s="310"/>
      <c r="V25" s="311"/>
      <c r="W25" s="311"/>
      <c r="X25" s="311"/>
      <c r="Y25" s="311"/>
      <c r="Z25" s="311"/>
      <c r="AA25" s="312"/>
    </row>
    <row r="26" spans="2:27" s="113" customFormat="1" x14ac:dyDescent="0.25">
      <c r="B26" s="115" t="s">
        <v>135</v>
      </c>
      <c r="C26" s="157">
        <v>0.41091061841404364</v>
      </c>
      <c r="D26" s="157">
        <v>0.42618618952790571</v>
      </c>
      <c r="E26" s="157">
        <v>0.43165651942903671</v>
      </c>
      <c r="F26" s="157">
        <v>0.43775908385103274</v>
      </c>
      <c r="G26" s="331">
        <v>0.44884676467154283</v>
      </c>
      <c r="H26" s="331">
        <v>0.42674226619036254</v>
      </c>
      <c r="I26" s="331">
        <v>0.42650913811820995</v>
      </c>
      <c r="J26" s="331">
        <v>0.40306590304163564</v>
      </c>
      <c r="K26" s="331">
        <v>0.392276671594117</v>
      </c>
      <c r="L26" s="331">
        <v>0.37086083726281338</v>
      </c>
      <c r="M26" s="331">
        <v>0.35439771703387118</v>
      </c>
      <c r="N26" s="331">
        <v>0.34479900705535677</v>
      </c>
      <c r="O26" s="331">
        <v>0.33331992907734487</v>
      </c>
      <c r="P26" s="331">
        <v>0.32093365443335259</v>
      </c>
      <c r="Q26" s="437">
        <v>0.3095072252832935</v>
      </c>
      <c r="R26" s="437">
        <v>0.3</v>
      </c>
      <c r="S26" s="511">
        <v>0.30361657588642427</v>
      </c>
      <c r="T26" s="325"/>
      <c r="U26" s="330">
        <v>0.44143947204032929</v>
      </c>
      <c r="V26" s="331">
        <v>0.41103752348535244</v>
      </c>
      <c r="W26" s="331">
        <v>0.39641344347740648</v>
      </c>
      <c r="X26" s="331">
        <v>0.43775908385103274</v>
      </c>
      <c r="Y26" s="331">
        <v>0.40306590304163564</v>
      </c>
      <c r="Z26" s="331">
        <v>0.34479900705535677</v>
      </c>
      <c r="AA26" s="332">
        <v>0.3</v>
      </c>
    </row>
    <row r="27" spans="2:27" s="113" customFormat="1" x14ac:dyDescent="0.25">
      <c r="B27" s="116" t="s">
        <v>151</v>
      </c>
      <c r="C27" s="176">
        <v>0.58908938158595636</v>
      </c>
      <c r="D27" s="176">
        <v>0.57381381047209423</v>
      </c>
      <c r="E27" s="176">
        <v>0.56834348057096329</v>
      </c>
      <c r="F27" s="176">
        <v>0.56224091614896721</v>
      </c>
      <c r="G27" s="336">
        <v>0.55115323532845728</v>
      </c>
      <c r="H27" s="336">
        <v>0.5732577338096374</v>
      </c>
      <c r="I27" s="336">
        <v>0.5734908618817901</v>
      </c>
      <c r="J27" s="336">
        <v>0.59693409695836441</v>
      </c>
      <c r="K27" s="336">
        <v>0.60772332840588306</v>
      </c>
      <c r="L27" s="336">
        <v>0.62913916273718662</v>
      </c>
      <c r="M27" s="336">
        <v>0.64560228296612876</v>
      </c>
      <c r="N27" s="336">
        <v>0.65520099294464329</v>
      </c>
      <c r="O27" s="336">
        <v>0.66668007092265513</v>
      </c>
      <c r="P27" s="336">
        <v>0.67906634556664747</v>
      </c>
      <c r="Q27" s="336">
        <v>0.69049277471670645</v>
      </c>
      <c r="R27" s="336">
        <v>0.7</v>
      </c>
      <c r="S27" s="337">
        <v>0.69638342411357579</v>
      </c>
      <c r="T27" s="325"/>
      <c r="U27" s="335">
        <v>0.55856052795967082</v>
      </c>
      <c r="V27" s="336">
        <v>0.58896247651464761</v>
      </c>
      <c r="W27" s="336">
        <v>0.60358655652259352</v>
      </c>
      <c r="X27" s="336">
        <v>0.56224091614896721</v>
      </c>
      <c r="Y27" s="336">
        <v>0.59693409695836441</v>
      </c>
      <c r="Z27" s="336">
        <v>0.65520099294464329</v>
      </c>
      <c r="AA27" s="337">
        <v>0.7</v>
      </c>
    </row>
    <row r="28" spans="2:27" x14ac:dyDescent="0.25">
      <c r="B28" s="179"/>
      <c r="C28" s="179"/>
      <c r="D28" s="179"/>
      <c r="E28" s="179"/>
      <c r="F28" s="179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U28" s="160"/>
      <c r="V28" s="160"/>
      <c r="W28" s="160"/>
      <c r="X28" s="160"/>
      <c r="Y28" s="160"/>
      <c r="Z28" s="160"/>
      <c r="AA28" s="160"/>
    </row>
    <row r="29" spans="2:27" x14ac:dyDescent="0.25">
      <c r="B29" s="141" t="s">
        <v>35</v>
      </c>
      <c r="C29" s="403"/>
      <c r="D29" s="403"/>
      <c r="E29" s="403"/>
      <c r="F29" s="403"/>
      <c r="G29" s="107"/>
      <c r="H29" s="107"/>
      <c r="I29" s="107"/>
      <c r="J29" s="107"/>
      <c r="K29" s="181"/>
      <c r="L29" s="181"/>
      <c r="M29" s="181"/>
      <c r="N29" s="181"/>
      <c r="O29" s="181"/>
      <c r="P29" s="181"/>
      <c r="Q29" s="181"/>
      <c r="R29" s="181"/>
      <c r="S29" s="182"/>
      <c r="U29" s="136"/>
      <c r="V29" s="136"/>
      <c r="W29" s="136"/>
      <c r="X29" s="136"/>
      <c r="Y29" s="136"/>
      <c r="Z29" s="136"/>
      <c r="AA29" s="438"/>
    </row>
    <row r="30" spans="2:27" x14ac:dyDescent="0.25">
      <c r="B30" s="97" t="s">
        <v>36</v>
      </c>
      <c r="C30" s="174">
        <v>0.40337753998081799</v>
      </c>
      <c r="D30" s="174">
        <v>0.39928635196742684</v>
      </c>
      <c r="E30" s="174">
        <v>0.39760533842483081</v>
      </c>
      <c r="F30" s="174">
        <v>0.39441617246015043</v>
      </c>
      <c r="G30" s="174">
        <v>0.39069088928949808</v>
      </c>
      <c r="H30" s="174">
        <v>0.38603468527051887</v>
      </c>
      <c r="I30" s="174">
        <v>0.38220161236924505</v>
      </c>
      <c r="J30" s="174">
        <v>0.37560388374834486</v>
      </c>
      <c r="K30" s="174">
        <v>0.36839163534212543</v>
      </c>
      <c r="L30" s="174">
        <v>0.36045913821234832</v>
      </c>
      <c r="M30" s="174">
        <v>0.35357915253020655</v>
      </c>
      <c r="N30" s="174">
        <v>0.34486316426349378</v>
      </c>
      <c r="O30" s="174">
        <v>0.34080565922590927</v>
      </c>
      <c r="P30" s="174">
        <v>0.33756385125110505</v>
      </c>
      <c r="Q30" s="174">
        <v>0.33400000000000002</v>
      </c>
      <c r="R30" s="174">
        <v>0.33097406585054601</v>
      </c>
      <c r="S30" s="384">
        <v>0.33073284570172179</v>
      </c>
      <c r="U30" s="183">
        <v>0.44400000000000001</v>
      </c>
      <c r="V30" s="157">
        <v>0.42199999999999999</v>
      </c>
      <c r="W30" s="157">
        <v>0.40300000000000002</v>
      </c>
      <c r="X30" s="157">
        <v>0.39400000000000002</v>
      </c>
      <c r="Y30" s="157">
        <v>0.376</v>
      </c>
      <c r="Z30" s="157">
        <v>0.34499999999999997</v>
      </c>
      <c r="AA30" s="158">
        <v>0.33097406585054601</v>
      </c>
    </row>
    <row r="31" spans="2:27" x14ac:dyDescent="0.25">
      <c r="B31" s="98" t="s">
        <v>37</v>
      </c>
      <c r="C31" s="180">
        <v>0.17376898022620549</v>
      </c>
      <c r="D31" s="180">
        <v>0.17315797113530393</v>
      </c>
      <c r="E31" s="180">
        <v>0.17099903740987596</v>
      </c>
      <c r="F31" s="180">
        <v>0.17250477604828629</v>
      </c>
      <c r="G31" s="180">
        <v>0.17177815933717019</v>
      </c>
      <c r="H31" s="180">
        <v>0.17109632449906384</v>
      </c>
      <c r="I31" s="180">
        <v>0.1727462810150438</v>
      </c>
      <c r="J31" s="180">
        <v>0.17389388830507163</v>
      </c>
      <c r="K31" s="180">
        <v>0.17625648378497691</v>
      </c>
      <c r="L31" s="180">
        <v>0.18205128456178557</v>
      </c>
      <c r="M31" s="180">
        <v>0.1865820879373353</v>
      </c>
      <c r="N31" s="180">
        <v>0.194048634374761</v>
      </c>
      <c r="O31" s="180">
        <v>0.19594751259088439</v>
      </c>
      <c r="P31" s="180">
        <v>0.19612928894059262</v>
      </c>
      <c r="Q31" s="180">
        <v>0.19900000000000001</v>
      </c>
      <c r="R31" s="180">
        <v>0.19956288338300601</v>
      </c>
      <c r="S31" s="184">
        <v>0.19737026090059162</v>
      </c>
      <c r="U31" s="159">
        <v>0.183</v>
      </c>
      <c r="V31" s="160">
        <v>0.17899999999999999</v>
      </c>
      <c r="W31" s="160">
        <v>0.17499999999999999</v>
      </c>
      <c r="X31" s="160">
        <v>0.17299999999999999</v>
      </c>
      <c r="Y31" s="160">
        <v>0.17399999999999999</v>
      </c>
      <c r="Z31" s="160">
        <v>0.19400000000000001</v>
      </c>
      <c r="AA31" s="161">
        <v>0.19956288338300601</v>
      </c>
    </row>
    <row r="32" spans="2:27" x14ac:dyDescent="0.25">
      <c r="B32" s="98" t="s">
        <v>40</v>
      </c>
      <c r="C32" s="180">
        <v>0.15594365557127374</v>
      </c>
      <c r="D32" s="180">
        <v>0.15476517651917171</v>
      </c>
      <c r="E32" s="180">
        <v>0.15216133785640318</v>
      </c>
      <c r="F32" s="180">
        <v>0.14749955989411134</v>
      </c>
      <c r="G32" s="180">
        <v>0.14510431721904479</v>
      </c>
      <c r="H32" s="180">
        <v>0.14285516864888848</v>
      </c>
      <c r="I32" s="180">
        <v>0.13904017804059679</v>
      </c>
      <c r="J32" s="180">
        <v>0.13672282974467279</v>
      </c>
      <c r="K32" s="180">
        <v>0.13482974076685114</v>
      </c>
      <c r="L32" s="180">
        <v>0.13297644841962836</v>
      </c>
      <c r="M32" s="180">
        <v>0.13107257712347878</v>
      </c>
      <c r="N32" s="180">
        <v>0.12852014531872838</v>
      </c>
      <c r="O32" s="180">
        <v>0.1279818014105856</v>
      </c>
      <c r="P32" s="180">
        <v>0.12749376359250822</v>
      </c>
      <c r="Q32" s="180">
        <v>0.125</v>
      </c>
      <c r="R32" s="180">
        <v>0.122662483876244</v>
      </c>
      <c r="S32" s="184">
        <v>0.12141930693308002</v>
      </c>
      <c r="U32" s="159">
        <v>0.16800000000000001</v>
      </c>
      <c r="V32" s="160">
        <v>0.161</v>
      </c>
      <c r="W32" s="160">
        <v>0.157</v>
      </c>
      <c r="X32" s="160">
        <v>0.14699999999999999</v>
      </c>
      <c r="Y32" s="160">
        <v>0.13700000000000001</v>
      </c>
      <c r="Z32" s="160">
        <v>0.129</v>
      </c>
      <c r="AA32" s="161">
        <v>0.122662483876244</v>
      </c>
    </row>
    <row r="33" spans="2:29" x14ac:dyDescent="0.25">
      <c r="B33" s="98" t="s">
        <v>38</v>
      </c>
      <c r="C33" s="180">
        <v>0.11423262006106434</v>
      </c>
      <c r="D33" s="180">
        <v>0.11727619715075893</v>
      </c>
      <c r="E33" s="180">
        <v>0.1200674640144594</v>
      </c>
      <c r="F33" s="180">
        <v>0.12337171005041983</v>
      </c>
      <c r="G33" s="180">
        <v>0.12552470021630696</v>
      </c>
      <c r="H33" s="180">
        <v>0.12768981993694767</v>
      </c>
      <c r="I33" s="180">
        <v>0.12809090111091187</v>
      </c>
      <c r="J33" s="180">
        <v>0.12858915045643268</v>
      </c>
      <c r="K33" s="180">
        <v>0.12859915429859289</v>
      </c>
      <c r="L33" s="180">
        <v>0.12775711723158528</v>
      </c>
      <c r="M33" s="180">
        <v>0.12734025435256216</v>
      </c>
      <c r="N33" s="180">
        <v>0.12621474810916997</v>
      </c>
      <c r="O33" s="180">
        <v>0.12543987381028016</v>
      </c>
      <c r="P33" s="180">
        <v>0.1245159330971034</v>
      </c>
      <c r="Q33" s="180">
        <v>0.123</v>
      </c>
      <c r="R33" s="180">
        <v>0.122197747522304</v>
      </c>
      <c r="S33" s="184">
        <v>0.12205576744118768</v>
      </c>
      <c r="U33" s="159">
        <v>0.1</v>
      </c>
      <c r="V33" s="160">
        <v>0.104</v>
      </c>
      <c r="W33" s="160">
        <v>0.113</v>
      </c>
      <c r="X33" s="160">
        <v>0.123</v>
      </c>
      <c r="Y33" s="160">
        <v>0.129</v>
      </c>
      <c r="Z33" s="160">
        <v>0.126</v>
      </c>
      <c r="AA33" s="161">
        <v>0.122197747522304</v>
      </c>
    </row>
    <row r="34" spans="2:29" x14ac:dyDescent="0.25">
      <c r="B34" s="98" t="s">
        <v>43</v>
      </c>
      <c r="C34" s="180">
        <v>5.5775516115778183E-2</v>
      </c>
      <c r="D34" s="180">
        <v>5.5515453400729602E-2</v>
      </c>
      <c r="E34" s="180">
        <v>5.591112285183248E-2</v>
      </c>
      <c r="F34" s="180">
        <v>5.6033997792996525E-2</v>
      </c>
      <c r="G34" s="180">
        <v>5.5292792569092218E-2</v>
      </c>
      <c r="H34" s="180">
        <v>5.5539397500691728E-2</v>
      </c>
      <c r="I34" s="180">
        <v>5.6328350833860993E-2</v>
      </c>
      <c r="J34" s="180">
        <v>5.6645478988744301E-2</v>
      </c>
      <c r="K34" s="180">
        <v>5.6996985790929225E-2</v>
      </c>
      <c r="L34" s="180">
        <v>5.7378937248293523E-2</v>
      </c>
      <c r="M34" s="180">
        <v>5.7280804931297169E-2</v>
      </c>
      <c r="N34" s="180">
        <v>5.6831744822997521E-2</v>
      </c>
      <c r="O34" s="180">
        <v>5.5733480827684159E-2</v>
      </c>
      <c r="P34" s="180">
        <v>5.5686954723406179E-2</v>
      </c>
      <c r="Q34" s="180">
        <v>5.5E-2</v>
      </c>
      <c r="R34" s="180">
        <v>5.5035264135771603E-2</v>
      </c>
      <c r="S34" s="184">
        <v>5.4783820402416625E-2</v>
      </c>
      <c r="U34" s="159">
        <v>5.0999999999999997E-2</v>
      </c>
      <c r="V34" s="160">
        <v>5.6000000000000001E-2</v>
      </c>
      <c r="W34" s="160">
        <v>5.7000000000000002E-2</v>
      </c>
      <c r="X34" s="160">
        <v>5.6000000000000001E-2</v>
      </c>
      <c r="Y34" s="160">
        <v>5.7000000000000002E-2</v>
      </c>
      <c r="Z34" s="160">
        <v>5.7000000000000002E-2</v>
      </c>
      <c r="AA34" s="161">
        <v>5.5035264135771603E-2</v>
      </c>
    </row>
    <row r="35" spans="2:29" x14ac:dyDescent="0.25">
      <c r="B35" s="98" t="s">
        <v>41</v>
      </c>
      <c r="C35" s="180">
        <v>4.1097580658740508E-2</v>
      </c>
      <c r="D35" s="180">
        <v>4.1829935365432884E-2</v>
      </c>
      <c r="E35" s="180">
        <v>4.25934647122218E-2</v>
      </c>
      <c r="F35" s="180">
        <v>4.3217296817258388E-2</v>
      </c>
      <c r="G35" s="180">
        <v>4.4515540468969626E-2</v>
      </c>
      <c r="H35" s="180">
        <v>4.5282964733001266E-2</v>
      </c>
      <c r="I35" s="180">
        <v>4.5888302498231968E-2</v>
      </c>
      <c r="J35" s="180">
        <v>4.7017714723724957E-2</v>
      </c>
      <c r="K35" s="180">
        <v>4.8414009693790054E-2</v>
      </c>
      <c r="L35" s="180">
        <v>4.9326197265273132E-2</v>
      </c>
      <c r="M35" s="180">
        <v>4.9929698900794968E-2</v>
      </c>
      <c r="N35" s="180">
        <v>5.0265062001344271E-2</v>
      </c>
      <c r="O35" s="180">
        <v>5.0727365072423321E-2</v>
      </c>
      <c r="P35" s="180">
        <v>5.1544581051430116E-2</v>
      </c>
      <c r="Q35" s="180">
        <v>5.2999999999999999E-2</v>
      </c>
      <c r="R35" s="180">
        <v>5.4830074955264797E-2</v>
      </c>
      <c r="S35" s="184">
        <v>5.6177283181531069E-2</v>
      </c>
      <c r="U35" s="159">
        <v>2.5999999999999999E-2</v>
      </c>
      <c r="V35" s="160">
        <v>3.5000000000000003E-2</v>
      </c>
      <c r="W35" s="160">
        <v>4.1000000000000002E-2</v>
      </c>
      <c r="X35" s="160">
        <v>4.2999999999999997E-2</v>
      </c>
      <c r="Y35" s="160">
        <v>4.7E-2</v>
      </c>
      <c r="Z35" s="160">
        <v>0.05</v>
      </c>
      <c r="AA35" s="161">
        <v>5.4830074955264797E-2</v>
      </c>
    </row>
    <row r="36" spans="2:29" x14ac:dyDescent="0.25">
      <c r="B36" s="98" t="s">
        <v>44</v>
      </c>
      <c r="C36" s="180">
        <v>2.9909827180335167E-2</v>
      </c>
      <c r="D36" s="180">
        <v>3.0362871624469434E-2</v>
      </c>
      <c r="E36" s="180">
        <v>3.008219466379258E-2</v>
      </c>
      <c r="F36" s="180">
        <v>2.9848941218454637E-2</v>
      </c>
      <c r="G36" s="180">
        <v>3.1E-2</v>
      </c>
      <c r="H36" s="180">
        <v>3.2000000000000001E-2</v>
      </c>
      <c r="I36" s="180">
        <v>3.3000000000000002E-2</v>
      </c>
      <c r="J36" s="180">
        <v>3.5000000000000003E-2</v>
      </c>
      <c r="K36" s="180">
        <v>3.5999999999999997E-2</v>
      </c>
      <c r="L36" s="180">
        <v>3.5999999999999997E-2</v>
      </c>
      <c r="M36" s="180">
        <v>3.6999999999999998E-2</v>
      </c>
      <c r="N36" s="180">
        <v>3.9E-2</v>
      </c>
      <c r="O36" s="180">
        <v>0.04</v>
      </c>
      <c r="P36" s="180">
        <v>4.1000000000000002E-2</v>
      </c>
      <c r="Q36" s="180">
        <v>4.2999999999999997E-2</v>
      </c>
      <c r="R36" s="180">
        <v>4.4980504579293597E-2</v>
      </c>
      <c r="S36" s="184">
        <v>4.6196425213479463E-2</v>
      </c>
      <c r="U36" s="159">
        <v>1.9E-2</v>
      </c>
      <c r="V36" s="160">
        <v>2.5999999999999999E-2</v>
      </c>
      <c r="W36" s="160">
        <v>2.9000000000000001E-2</v>
      </c>
      <c r="X36" s="160">
        <v>0.03</v>
      </c>
      <c r="Y36" s="160">
        <v>3.5000000000000003E-2</v>
      </c>
      <c r="Z36" s="160">
        <v>3.9E-2</v>
      </c>
      <c r="AA36" s="161">
        <v>4.4980504579293597E-2</v>
      </c>
    </row>
    <row r="37" spans="2:29" x14ac:dyDescent="0.25">
      <c r="B37" s="98" t="s">
        <v>39</v>
      </c>
      <c r="C37" s="412">
        <v>0</v>
      </c>
      <c r="D37" s="180">
        <v>2.5645817441113976E-4</v>
      </c>
      <c r="E37" s="180">
        <v>1.6233049254204682E-3</v>
      </c>
      <c r="F37" s="180">
        <v>3.2535926532100716E-3</v>
      </c>
      <c r="G37" s="180">
        <v>5.5037357337434818E-3</v>
      </c>
      <c r="H37" s="180">
        <v>7.9148096116058216E-3</v>
      </c>
      <c r="I37" s="180">
        <v>1.0153277748805459E-2</v>
      </c>
      <c r="J37" s="180">
        <v>1.2858942845558602E-2</v>
      </c>
      <c r="K37" s="180">
        <v>1.5422469746744064E-2</v>
      </c>
      <c r="L37" s="180">
        <v>1.8360540287506232E-2</v>
      </c>
      <c r="M37" s="180">
        <v>2.1344245144726784E-2</v>
      </c>
      <c r="N37" s="180">
        <v>2.4703337043044688E-2</v>
      </c>
      <c r="O37" s="180">
        <v>2.7365458259587166E-2</v>
      </c>
      <c r="P37" s="180">
        <v>2.9420091151954594E-2</v>
      </c>
      <c r="Q37" s="180">
        <v>3.1E-2</v>
      </c>
      <c r="R37" s="180">
        <v>3.2749956170807497E-2</v>
      </c>
      <c r="S37" s="184">
        <v>3.3819196998992267E-2</v>
      </c>
      <c r="U37" s="98">
        <v>0</v>
      </c>
      <c r="V37" s="185">
        <v>0</v>
      </c>
      <c r="W37" s="185">
        <v>0</v>
      </c>
      <c r="X37" s="160">
        <v>3.0000000000000001E-3</v>
      </c>
      <c r="Y37" s="160">
        <v>1.2999999999999999E-2</v>
      </c>
      <c r="Z37" s="160">
        <v>2.5000000000000001E-2</v>
      </c>
      <c r="AA37" s="161">
        <v>3.2749956170807497E-2</v>
      </c>
    </row>
    <row r="38" spans="2:29" x14ac:dyDescent="0.25">
      <c r="B38" s="98" t="s">
        <v>157</v>
      </c>
      <c r="C38" s="180">
        <f>100%-SUM(C30:C37)</f>
        <v>2.5894280205784548E-2</v>
      </c>
      <c r="D38" s="180">
        <f t="shared" ref="D38:F38" si="0">100%-SUM(D30:D37)</f>
        <v>2.7549584662295512E-2</v>
      </c>
      <c r="E38" s="180">
        <f t="shared" si="0"/>
        <v>2.8956735141163148E-2</v>
      </c>
      <c r="F38" s="180">
        <f t="shared" si="0"/>
        <v>2.9853953065112404E-2</v>
      </c>
      <c r="G38" s="180">
        <v>3.0589865166174568E-2</v>
      </c>
      <c r="H38" s="180">
        <v>3.1586829799282179E-2</v>
      </c>
      <c r="I38" s="180">
        <v>3.2551096383304001E-2</v>
      </c>
      <c r="J38" s="180">
        <v>3.3668111187450278E-2</v>
      </c>
      <c r="K38" s="180">
        <v>3.508952057599013E-2</v>
      </c>
      <c r="L38" s="180">
        <v>3.5690336773579578E-2</v>
      </c>
      <c r="M38" s="180">
        <v>3.5871179079598248E-2</v>
      </c>
      <c r="N38" s="180">
        <v>3.5553164066460252E-2</v>
      </c>
      <c r="O38" s="180">
        <v>3.5998848802645811E-2</v>
      </c>
      <c r="P38" s="180">
        <v>3.6645536191899808E-2</v>
      </c>
      <c r="Q38" s="180">
        <v>3.6999999999999811E-2</v>
      </c>
      <c r="R38" s="180">
        <v>3.7007019526762441E-2</v>
      </c>
      <c r="S38" s="184">
        <v>3.7445093226999515E-2</v>
      </c>
      <c r="U38" s="186">
        <v>8.999999999999897E-3</v>
      </c>
      <c r="V38" s="180">
        <v>1.6999999999999904E-2</v>
      </c>
      <c r="W38" s="180">
        <v>2.49999999999998E-2</v>
      </c>
      <c r="X38" s="180">
        <v>3.0999999999999917E-2</v>
      </c>
      <c r="Y38" s="180">
        <v>3.1999999999999806E-2</v>
      </c>
      <c r="Z38" s="180">
        <v>3.499999999999992E-2</v>
      </c>
      <c r="AA38" s="184">
        <v>3.7007019526762441E-2</v>
      </c>
      <c r="AB38" s="180"/>
      <c r="AC38" s="180"/>
    </row>
    <row r="39" spans="2:29" s="190" customFormat="1" x14ac:dyDescent="0.25">
      <c r="B39" s="187" t="s">
        <v>24</v>
      </c>
      <c r="C39" s="188">
        <f>SUM(C30:C38)</f>
        <v>1</v>
      </c>
      <c r="D39" s="188">
        <f t="shared" ref="D39:F39" si="1">SUM(D30:D38)</f>
        <v>1</v>
      </c>
      <c r="E39" s="188">
        <f t="shared" si="1"/>
        <v>1</v>
      </c>
      <c r="F39" s="188">
        <f t="shared" si="1"/>
        <v>1</v>
      </c>
      <c r="G39" s="188">
        <v>1.0000000000000002</v>
      </c>
      <c r="H39" s="188">
        <v>1.0000000000000002</v>
      </c>
      <c r="I39" s="188">
        <v>1</v>
      </c>
      <c r="J39" s="188">
        <v>0.99999999999999989</v>
      </c>
      <c r="K39" s="188">
        <v>1</v>
      </c>
      <c r="L39" s="188">
        <v>0.99999999999999989</v>
      </c>
      <c r="M39" s="188">
        <v>1.0000000000000002</v>
      </c>
      <c r="N39" s="188">
        <v>1</v>
      </c>
      <c r="O39" s="188">
        <v>1.0000000000000002</v>
      </c>
      <c r="P39" s="188">
        <v>1</v>
      </c>
      <c r="Q39" s="188">
        <v>1</v>
      </c>
      <c r="R39" s="188">
        <v>1</v>
      </c>
      <c r="S39" s="189">
        <v>1</v>
      </c>
      <c r="U39" s="187">
        <v>1</v>
      </c>
      <c r="V39" s="188">
        <v>1.0010000000000001</v>
      </c>
      <c r="W39" s="188">
        <v>0.99900000000000022</v>
      </c>
      <c r="X39" s="188">
        <v>0.99900000000000011</v>
      </c>
      <c r="Y39" s="188">
        <v>1.0020000000000002</v>
      </c>
      <c r="Z39" s="188">
        <v>1</v>
      </c>
      <c r="AA39" s="189">
        <v>1</v>
      </c>
    </row>
    <row r="40" spans="2:29" x14ac:dyDescent="0.25">
      <c r="B40" s="185"/>
      <c r="C40" s="185"/>
      <c r="D40" s="185"/>
      <c r="E40" s="185"/>
      <c r="F40" s="185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U40" s="185"/>
      <c r="V40" s="185"/>
      <c r="W40" s="185"/>
      <c r="X40" s="160"/>
      <c r="Y40" s="160"/>
      <c r="Z40" s="160"/>
      <c r="AA40" s="160"/>
    </row>
    <row r="41" spans="2:29" x14ac:dyDescent="0.25">
      <c r="B41" s="191" t="s">
        <v>48</v>
      </c>
      <c r="C41" s="404"/>
      <c r="D41" s="404"/>
      <c r="E41" s="404"/>
      <c r="F41" s="40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5"/>
      <c r="U41" s="153"/>
      <c r="V41" s="154"/>
      <c r="W41" s="154"/>
      <c r="X41" s="154"/>
      <c r="Y41" s="154"/>
      <c r="Z41" s="154"/>
      <c r="AA41" s="155"/>
    </row>
    <row r="42" spans="2:29" x14ac:dyDescent="0.25">
      <c r="B42" s="97" t="s">
        <v>36</v>
      </c>
      <c r="C42" s="144">
        <v>96</v>
      </c>
      <c r="D42" s="144">
        <v>96</v>
      </c>
      <c r="E42" s="144">
        <v>96</v>
      </c>
      <c r="F42" s="144">
        <v>99</v>
      </c>
      <c r="G42" s="144">
        <v>100</v>
      </c>
      <c r="H42" s="144">
        <v>100</v>
      </c>
      <c r="I42" s="144">
        <v>100</v>
      </c>
      <c r="J42" s="144">
        <v>102</v>
      </c>
      <c r="K42" s="144">
        <v>102</v>
      </c>
      <c r="L42" s="192">
        <v>102</v>
      </c>
      <c r="M42" s="192">
        <v>103</v>
      </c>
      <c r="N42" s="144">
        <v>108</v>
      </c>
      <c r="O42" s="144">
        <v>109</v>
      </c>
      <c r="P42" s="144">
        <v>109</v>
      </c>
      <c r="Q42" s="144">
        <v>109</v>
      </c>
      <c r="R42" s="144">
        <v>109</v>
      </c>
      <c r="S42" s="145">
        <v>109</v>
      </c>
      <c r="U42" s="149">
        <v>78</v>
      </c>
      <c r="V42" s="147">
        <v>88</v>
      </c>
      <c r="W42" s="147">
        <v>95</v>
      </c>
      <c r="X42" s="147">
        <v>99</v>
      </c>
      <c r="Y42" s="147">
        <v>102</v>
      </c>
      <c r="Z42" s="147">
        <v>108</v>
      </c>
      <c r="AA42" s="148">
        <v>109</v>
      </c>
    </row>
    <row r="43" spans="2:29" x14ac:dyDescent="0.25">
      <c r="B43" s="98" t="s">
        <v>37</v>
      </c>
      <c r="C43" s="147">
        <v>44</v>
      </c>
      <c r="D43" s="147">
        <v>44</v>
      </c>
      <c r="E43" s="147">
        <v>44</v>
      </c>
      <c r="F43" s="147">
        <v>45</v>
      </c>
      <c r="G43" s="147">
        <v>46</v>
      </c>
      <c r="H43" s="147">
        <v>48</v>
      </c>
      <c r="I43" s="147">
        <v>48</v>
      </c>
      <c r="J43" s="147">
        <v>48</v>
      </c>
      <c r="K43" s="147">
        <v>48</v>
      </c>
      <c r="L43" s="8">
        <v>48</v>
      </c>
      <c r="M43" s="8">
        <v>48</v>
      </c>
      <c r="N43" s="147">
        <v>49</v>
      </c>
      <c r="O43" s="147">
        <v>49</v>
      </c>
      <c r="P43" s="147">
        <v>49</v>
      </c>
      <c r="Q43" s="147">
        <v>50</v>
      </c>
      <c r="R43" s="147">
        <v>51</v>
      </c>
      <c r="S43" s="148">
        <v>51</v>
      </c>
      <c r="U43" s="149">
        <v>38</v>
      </c>
      <c r="V43" s="147">
        <v>42</v>
      </c>
      <c r="W43" s="147">
        <v>44</v>
      </c>
      <c r="X43" s="147">
        <v>45</v>
      </c>
      <c r="Y43" s="147">
        <v>48</v>
      </c>
      <c r="Z43" s="147">
        <v>49</v>
      </c>
      <c r="AA43" s="148">
        <v>51</v>
      </c>
    </row>
    <row r="44" spans="2:29" x14ac:dyDescent="0.25">
      <c r="B44" s="98" t="s">
        <v>40</v>
      </c>
      <c r="C44" s="147">
        <v>40</v>
      </c>
      <c r="D44" s="147">
        <v>40</v>
      </c>
      <c r="E44" s="147">
        <v>40</v>
      </c>
      <c r="F44" s="147">
        <v>42</v>
      </c>
      <c r="G44" s="147">
        <v>44</v>
      </c>
      <c r="H44" s="147">
        <v>44</v>
      </c>
      <c r="I44" s="147">
        <v>44</v>
      </c>
      <c r="J44" s="147">
        <v>44</v>
      </c>
      <c r="K44" s="147">
        <v>44</v>
      </c>
      <c r="L44" s="8">
        <v>44</v>
      </c>
      <c r="M44" s="8">
        <v>44</v>
      </c>
      <c r="N44" s="147">
        <v>45</v>
      </c>
      <c r="O44" s="147">
        <v>45</v>
      </c>
      <c r="P44" s="147">
        <v>45</v>
      </c>
      <c r="Q44" s="147">
        <v>45</v>
      </c>
      <c r="R44" s="147">
        <v>46</v>
      </c>
      <c r="S44" s="148">
        <v>46</v>
      </c>
      <c r="U44" s="149">
        <v>32</v>
      </c>
      <c r="V44" s="147">
        <v>37</v>
      </c>
      <c r="W44" s="147">
        <v>39</v>
      </c>
      <c r="X44" s="147">
        <v>42</v>
      </c>
      <c r="Y44" s="147">
        <v>44</v>
      </c>
      <c r="Z44" s="147">
        <v>45</v>
      </c>
      <c r="AA44" s="148">
        <v>46</v>
      </c>
    </row>
    <row r="45" spans="2:29" x14ac:dyDescent="0.25">
      <c r="B45" s="98" t="s">
        <v>38</v>
      </c>
      <c r="C45" s="147">
        <v>40</v>
      </c>
      <c r="D45" s="147">
        <v>40</v>
      </c>
      <c r="E45" s="147">
        <v>40</v>
      </c>
      <c r="F45" s="147">
        <v>45</v>
      </c>
      <c r="G45" s="147">
        <v>45</v>
      </c>
      <c r="H45" s="147">
        <v>46</v>
      </c>
      <c r="I45" s="147">
        <v>46</v>
      </c>
      <c r="J45" s="147">
        <v>49</v>
      </c>
      <c r="K45" s="147">
        <v>49</v>
      </c>
      <c r="L45" s="8">
        <v>49</v>
      </c>
      <c r="M45" s="8">
        <v>49</v>
      </c>
      <c r="N45" s="147">
        <v>51</v>
      </c>
      <c r="O45" s="147">
        <v>51</v>
      </c>
      <c r="P45" s="147">
        <v>51</v>
      </c>
      <c r="Q45" s="147">
        <v>51</v>
      </c>
      <c r="R45" s="147">
        <v>55</v>
      </c>
      <c r="S45" s="148">
        <v>55</v>
      </c>
      <c r="U45" s="149">
        <v>32</v>
      </c>
      <c r="V45" s="147">
        <v>36</v>
      </c>
      <c r="W45" s="147">
        <v>40</v>
      </c>
      <c r="X45" s="147">
        <v>45</v>
      </c>
      <c r="Y45" s="147">
        <v>49</v>
      </c>
      <c r="Z45" s="147">
        <v>51</v>
      </c>
      <c r="AA45" s="148">
        <v>55</v>
      </c>
    </row>
    <row r="46" spans="2:29" x14ac:dyDescent="0.25">
      <c r="B46" s="98" t="s">
        <v>43</v>
      </c>
      <c r="C46" s="147">
        <v>4</v>
      </c>
      <c r="D46" s="147">
        <v>4</v>
      </c>
      <c r="E46" s="147">
        <v>4</v>
      </c>
      <c r="F46" s="147">
        <v>4</v>
      </c>
      <c r="G46" s="147">
        <v>4</v>
      </c>
      <c r="H46" s="147">
        <v>4</v>
      </c>
      <c r="I46" s="147">
        <v>4</v>
      </c>
      <c r="J46" s="147">
        <v>4</v>
      </c>
      <c r="K46" s="147">
        <v>5</v>
      </c>
      <c r="L46" s="8">
        <v>5</v>
      </c>
      <c r="M46" s="8">
        <v>5</v>
      </c>
      <c r="N46" s="147">
        <v>5</v>
      </c>
      <c r="O46" s="147">
        <v>5</v>
      </c>
      <c r="P46" s="147">
        <v>5</v>
      </c>
      <c r="Q46" s="147">
        <v>5</v>
      </c>
      <c r="R46" s="147">
        <v>5</v>
      </c>
      <c r="S46" s="148">
        <v>5</v>
      </c>
      <c r="U46" s="149">
        <v>2</v>
      </c>
      <c r="V46" s="147">
        <v>4</v>
      </c>
      <c r="W46" s="147">
        <v>4</v>
      </c>
      <c r="X46" s="147">
        <v>4</v>
      </c>
      <c r="Y46" s="147">
        <v>4</v>
      </c>
      <c r="Z46" s="147">
        <v>5</v>
      </c>
      <c r="AA46" s="148">
        <v>5</v>
      </c>
    </row>
    <row r="47" spans="2:29" x14ac:dyDescent="0.25">
      <c r="B47" s="98" t="s">
        <v>44</v>
      </c>
      <c r="C47" s="147">
        <v>15</v>
      </c>
      <c r="D47" s="147">
        <v>15</v>
      </c>
      <c r="E47" s="147">
        <v>15</v>
      </c>
      <c r="F47" s="147">
        <v>17</v>
      </c>
      <c r="G47" s="147">
        <v>17</v>
      </c>
      <c r="H47" s="147">
        <v>17</v>
      </c>
      <c r="I47" s="147">
        <v>17</v>
      </c>
      <c r="J47" s="147">
        <v>17</v>
      </c>
      <c r="K47" s="147">
        <v>17</v>
      </c>
      <c r="L47" s="8">
        <v>17</v>
      </c>
      <c r="M47" s="8">
        <v>17</v>
      </c>
      <c r="N47" s="147">
        <v>18</v>
      </c>
      <c r="O47" s="147">
        <v>18</v>
      </c>
      <c r="P47" s="147">
        <v>18</v>
      </c>
      <c r="Q47" s="147">
        <v>18</v>
      </c>
      <c r="R47" s="147">
        <v>20</v>
      </c>
      <c r="S47" s="148">
        <v>20</v>
      </c>
      <c r="U47" s="149">
        <v>11</v>
      </c>
      <c r="V47" s="147">
        <v>14</v>
      </c>
      <c r="W47" s="147">
        <v>15</v>
      </c>
      <c r="X47" s="147">
        <v>17</v>
      </c>
      <c r="Y47" s="147">
        <v>17</v>
      </c>
      <c r="Z47" s="147">
        <v>18</v>
      </c>
      <c r="AA47" s="148">
        <v>20</v>
      </c>
    </row>
    <row r="48" spans="2:29" x14ac:dyDescent="0.25">
      <c r="B48" s="98" t="s">
        <v>41</v>
      </c>
      <c r="C48" s="147">
        <v>22</v>
      </c>
      <c r="D48" s="147">
        <v>22</v>
      </c>
      <c r="E48" s="147">
        <v>22</v>
      </c>
      <c r="F48" s="147">
        <v>24</v>
      </c>
      <c r="G48" s="147">
        <v>24</v>
      </c>
      <c r="H48" s="147">
        <v>24</v>
      </c>
      <c r="I48" s="147">
        <v>24</v>
      </c>
      <c r="J48" s="147">
        <v>27</v>
      </c>
      <c r="K48" s="147">
        <v>28</v>
      </c>
      <c r="L48" s="8">
        <v>30</v>
      </c>
      <c r="M48" s="8">
        <v>30</v>
      </c>
      <c r="N48" s="147">
        <v>32</v>
      </c>
      <c r="O48" s="147">
        <v>33</v>
      </c>
      <c r="P48" s="147">
        <v>33</v>
      </c>
      <c r="Q48" s="147">
        <v>33</v>
      </c>
      <c r="R48" s="147">
        <v>39</v>
      </c>
      <c r="S48" s="148">
        <v>39</v>
      </c>
      <c r="U48" s="149">
        <v>6</v>
      </c>
      <c r="V48" s="147">
        <v>15</v>
      </c>
      <c r="W48" s="147">
        <v>21</v>
      </c>
      <c r="X48" s="147">
        <v>24</v>
      </c>
      <c r="Y48" s="147">
        <v>27</v>
      </c>
      <c r="Z48" s="147">
        <v>32</v>
      </c>
      <c r="AA48" s="148">
        <v>39</v>
      </c>
    </row>
    <row r="49" spans="2:27" x14ac:dyDescent="0.25">
      <c r="B49" s="98" t="s">
        <v>45</v>
      </c>
      <c r="C49" s="147">
        <v>7</v>
      </c>
      <c r="D49" s="147">
        <v>7</v>
      </c>
      <c r="E49" s="147">
        <v>7</v>
      </c>
      <c r="F49" s="147">
        <v>8</v>
      </c>
      <c r="G49" s="147">
        <v>8</v>
      </c>
      <c r="H49" s="147">
        <v>8</v>
      </c>
      <c r="I49" s="147">
        <v>8</v>
      </c>
      <c r="J49" s="147">
        <v>9</v>
      </c>
      <c r="K49" s="147">
        <v>9</v>
      </c>
      <c r="L49" s="8">
        <v>9</v>
      </c>
      <c r="M49" s="8">
        <v>9</v>
      </c>
      <c r="N49" s="147">
        <v>9</v>
      </c>
      <c r="O49" s="147">
        <v>9</v>
      </c>
      <c r="P49" s="147">
        <v>9</v>
      </c>
      <c r="Q49" s="147">
        <v>9</v>
      </c>
      <c r="R49" s="147">
        <v>9</v>
      </c>
      <c r="S49" s="148">
        <v>9</v>
      </c>
      <c r="U49" s="149">
        <v>5</v>
      </c>
      <c r="V49" s="147">
        <v>5</v>
      </c>
      <c r="W49" s="147">
        <v>7</v>
      </c>
      <c r="X49" s="147">
        <v>8</v>
      </c>
      <c r="Y49" s="147">
        <v>9</v>
      </c>
      <c r="Z49" s="147">
        <v>9</v>
      </c>
      <c r="AA49" s="148">
        <v>9</v>
      </c>
    </row>
    <row r="50" spans="2:27" x14ac:dyDescent="0.25">
      <c r="B50" s="98" t="s">
        <v>46</v>
      </c>
      <c r="C50" s="147">
        <v>2</v>
      </c>
      <c r="D50" s="147">
        <v>2</v>
      </c>
      <c r="E50" s="147">
        <v>2</v>
      </c>
      <c r="F50" s="147">
        <v>2</v>
      </c>
      <c r="G50" s="147">
        <v>2</v>
      </c>
      <c r="H50" s="147">
        <v>2</v>
      </c>
      <c r="I50" s="147">
        <v>2</v>
      </c>
      <c r="J50" s="147">
        <v>3</v>
      </c>
      <c r="K50" s="147">
        <v>3</v>
      </c>
      <c r="L50" s="8">
        <v>3</v>
      </c>
      <c r="M50" s="8">
        <v>3</v>
      </c>
      <c r="N50" s="147">
        <v>5</v>
      </c>
      <c r="O50" s="147">
        <v>5</v>
      </c>
      <c r="P50" s="147">
        <v>5</v>
      </c>
      <c r="Q50" s="147">
        <v>5</v>
      </c>
      <c r="R50" s="147">
        <v>5</v>
      </c>
      <c r="S50" s="148">
        <v>5</v>
      </c>
      <c r="U50" s="149">
        <v>1</v>
      </c>
      <c r="V50" s="147">
        <v>1</v>
      </c>
      <c r="W50" s="147">
        <v>2</v>
      </c>
      <c r="X50" s="147">
        <v>2</v>
      </c>
      <c r="Y50" s="147">
        <v>3</v>
      </c>
      <c r="Z50" s="147">
        <v>5</v>
      </c>
      <c r="AA50" s="148">
        <v>5</v>
      </c>
    </row>
    <row r="51" spans="2:27" x14ac:dyDescent="0.25">
      <c r="B51" s="98" t="s">
        <v>42</v>
      </c>
      <c r="C51" s="147">
        <v>9</v>
      </c>
      <c r="D51" s="147">
        <v>9</v>
      </c>
      <c r="E51" s="147">
        <v>9</v>
      </c>
      <c r="F51" s="147">
        <v>9</v>
      </c>
      <c r="G51" s="147">
        <v>9</v>
      </c>
      <c r="H51" s="147">
        <v>9</v>
      </c>
      <c r="I51" s="147">
        <v>9</v>
      </c>
      <c r="J51" s="147">
        <v>9</v>
      </c>
      <c r="K51" s="147">
        <v>9</v>
      </c>
      <c r="L51" s="8">
        <v>9</v>
      </c>
      <c r="M51" s="8">
        <v>9</v>
      </c>
      <c r="N51" s="147">
        <v>9</v>
      </c>
      <c r="O51" s="147">
        <v>9</v>
      </c>
      <c r="P51" s="147">
        <v>9</v>
      </c>
      <c r="Q51" s="147">
        <v>9</v>
      </c>
      <c r="R51" s="147">
        <v>9</v>
      </c>
      <c r="S51" s="148">
        <v>9</v>
      </c>
      <c r="U51" s="149">
        <v>5</v>
      </c>
      <c r="V51" s="147">
        <v>8</v>
      </c>
      <c r="W51" s="147">
        <v>9</v>
      </c>
      <c r="X51" s="147">
        <v>9</v>
      </c>
      <c r="Y51" s="147">
        <v>9</v>
      </c>
      <c r="Z51" s="147">
        <v>9</v>
      </c>
      <c r="AA51" s="148">
        <v>9</v>
      </c>
    </row>
    <row r="52" spans="2:27" x14ac:dyDescent="0.25">
      <c r="B52" s="98" t="s">
        <v>116</v>
      </c>
      <c r="C52" s="147">
        <v>4</v>
      </c>
      <c r="D52" s="147">
        <v>4</v>
      </c>
      <c r="E52" s="147">
        <v>4</v>
      </c>
      <c r="F52" s="147">
        <v>4</v>
      </c>
      <c r="G52" s="147">
        <v>4</v>
      </c>
      <c r="H52" s="147">
        <v>4</v>
      </c>
      <c r="I52" s="147">
        <v>4</v>
      </c>
      <c r="J52" s="147">
        <v>4</v>
      </c>
      <c r="K52" s="147">
        <v>4</v>
      </c>
      <c r="L52" s="8">
        <v>4</v>
      </c>
      <c r="M52" s="8">
        <v>4</v>
      </c>
      <c r="N52" s="147">
        <v>4</v>
      </c>
      <c r="O52" s="147">
        <v>4</v>
      </c>
      <c r="P52" s="147">
        <v>4</v>
      </c>
      <c r="Q52" s="147">
        <v>4</v>
      </c>
      <c r="R52" s="147">
        <v>4</v>
      </c>
      <c r="S52" s="148">
        <v>4</v>
      </c>
      <c r="U52" s="149">
        <v>0</v>
      </c>
      <c r="V52" s="147">
        <v>0</v>
      </c>
      <c r="W52" s="147">
        <v>4</v>
      </c>
      <c r="X52" s="147">
        <v>4</v>
      </c>
      <c r="Y52" s="147">
        <v>4</v>
      </c>
      <c r="Z52" s="147">
        <v>4</v>
      </c>
      <c r="AA52" s="148">
        <v>4</v>
      </c>
    </row>
    <row r="53" spans="2:27" x14ac:dyDescent="0.25">
      <c r="B53" s="98" t="s">
        <v>39</v>
      </c>
      <c r="C53" s="147">
        <v>0</v>
      </c>
      <c r="D53" s="147">
        <v>11</v>
      </c>
      <c r="E53" s="147">
        <v>11</v>
      </c>
      <c r="F53" s="147">
        <v>11</v>
      </c>
      <c r="G53" s="147">
        <v>11</v>
      </c>
      <c r="H53" s="147">
        <v>11</v>
      </c>
      <c r="I53" s="147">
        <v>11</v>
      </c>
      <c r="J53" s="147">
        <v>24</v>
      </c>
      <c r="K53" s="147">
        <v>24</v>
      </c>
      <c r="L53" s="8">
        <v>24</v>
      </c>
      <c r="M53" s="8">
        <v>24</v>
      </c>
      <c r="N53" s="147">
        <v>26</v>
      </c>
      <c r="O53" s="147">
        <v>28</v>
      </c>
      <c r="P53" s="147">
        <v>28</v>
      </c>
      <c r="Q53" s="147">
        <v>28</v>
      </c>
      <c r="R53" s="147">
        <v>38</v>
      </c>
      <c r="S53" s="148">
        <v>38</v>
      </c>
      <c r="U53" s="149">
        <v>0</v>
      </c>
      <c r="V53" s="147">
        <v>0</v>
      </c>
      <c r="W53" s="147">
        <v>0</v>
      </c>
      <c r="X53" s="147">
        <v>11</v>
      </c>
      <c r="Y53" s="147">
        <v>24</v>
      </c>
      <c r="Z53" s="147">
        <v>26</v>
      </c>
      <c r="AA53" s="148">
        <v>38</v>
      </c>
    </row>
    <row r="54" spans="2:27" x14ac:dyDescent="0.25">
      <c r="B54" s="98" t="s">
        <v>47</v>
      </c>
      <c r="C54" s="147">
        <v>0</v>
      </c>
      <c r="D54" s="147">
        <v>3</v>
      </c>
      <c r="E54" s="147">
        <v>4</v>
      </c>
      <c r="F54" s="147">
        <v>4</v>
      </c>
      <c r="G54" s="147">
        <v>4</v>
      </c>
      <c r="H54" s="147">
        <v>4</v>
      </c>
      <c r="I54" s="147">
        <v>4</v>
      </c>
      <c r="J54" s="147">
        <v>6</v>
      </c>
      <c r="K54" s="147">
        <v>6</v>
      </c>
      <c r="L54" s="8">
        <v>6</v>
      </c>
      <c r="M54" s="8">
        <v>6</v>
      </c>
      <c r="N54" s="147">
        <v>6</v>
      </c>
      <c r="O54" s="147">
        <v>6</v>
      </c>
      <c r="P54" s="147">
        <v>6</v>
      </c>
      <c r="Q54" s="147">
        <v>6</v>
      </c>
      <c r="R54" s="147">
        <v>6</v>
      </c>
      <c r="S54" s="148">
        <v>6</v>
      </c>
      <c r="U54" s="149">
        <v>0</v>
      </c>
      <c r="V54" s="147">
        <v>0</v>
      </c>
      <c r="W54" s="147">
        <v>0</v>
      </c>
      <c r="X54" s="147">
        <v>4</v>
      </c>
      <c r="Y54" s="147">
        <v>6</v>
      </c>
      <c r="Z54" s="147">
        <v>6</v>
      </c>
      <c r="AA54" s="148">
        <v>6</v>
      </c>
    </row>
    <row r="55" spans="2:27" x14ac:dyDescent="0.25">
      <c r="B55" s="98" t="s">
        <v>133</v>
      </c>
      <c r="C55" s="147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147">
        <v>0</v>
      </c>
      <c r="O55" s="147">
        <v>0</v>
      </c>
      <c r="P55" s="147">
        <v>1</v>
      </c>
      <c r="Q55" s="147">
        <v>1</v>
      </c>
      <c r="R55" s="147">
        <v>1</v>
      </c>
      <c r="S55" s="148">
        <v>1</v>
      </c>
      <c r="U55" s="149">
        <v>0</v>
      </c>
      <c r="V55" s="147">
        <v>0</v>
      </c>
      <c r="W55" s="147">
        <v>0</v>
      </c>
      <c r="X55" s="147">
        <v>0</v>
      </c>
      <c r="Y55" s="147">
        <v>0</v>
      </c>
      <c r="Z55" s="147">
        <v>0</v>
      </c>
      <c r="AA55" s="148">
        <v>1</v>
      </c>
    </row>
    <row r="56" spans="2:27" x14ac:dyDescent="0.25">
      <c r="B56" s="191" t="s">
        <v>24</v>
      </c>
      <c r="C56" s="193">
        <f>SUM(C42:C55)</f>
        <v>283</v>
      </c>
      <c r="D56" s="193">
        <f t="shared" ref="D56:F56" si="2">SUM(D42:D55)</f>
        <v>297</v>
      </c>
      <c r="E56" s="193">
        <f t="shared" si="2"/>
        <v>298</v>
      </c>
      <c r="F56" s="193">
        <f t="shared" si="2"/>
        <v>314</v>
      </c>
      <c r="G56" s="193">
        <v>318</v>
      </c>
      <c r="H56" s="193">
        <v>321</v>
      </c>
      <c r="I56" s="193">
        <v>321</v>
      </c>
      <c r="J56" s="193">
        <v>346</v>
      </c>
      <c r="K56" s="193">
        <v>348</v>
      </c>
      <c r="L56" s="193">
        <v>350</v>
      </c>
      <c r="M56" s="193">
        <v>351</v>
      </c>
      <c r="N56" s="193">
        <v>367</v>
      </c>
      <c r="O56" s="193">
        <v>371</v>
      </c>
      <c r="P56" s="193">
        <v>372</v>
      </c>
      <c r="Q56" s="193">
        <v>373</v>
      </c>
      <c r="R56" s="193">
        <f>SUM(R42:R55)</f>
        <v>397</v>
      </c>
      <c r="S56" s="194">
        <f>SUM(S42:S55)</f>
        <v>397</v>
      </c>
      <c r="U56" s="195">
        <v>210</v>
      </c>
      <c r="V56" s="193">
        <v>250</v>
      </c>
      <c r="W56" s="193">
        <v>280</v>
      </c>
      <c r="X56" s="193">
        <v>314</v>
      </c>
      <c r="Y56" s="193">
        <v>346</v>
      </c>
      <c r="Z56" s="193">
        <v>367</v>
      </c>
      <c r="AA56" s="194">
        <f>SUM(AA42:AA55)</f>
        <v>397</v>
      </c>
    </row>
    <row r="57" spans="2:27" x14ac:dyDescent="0.25">
      <c r="B57" s="402"/>
      <c r="C57" s="402"/>
      <c r="D57" s="402"/>
      <c r="E57" s="402"/>
      <c r="F57" s="402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U57" s="215"/>
      <c r="V57" s="215"/>
      <c r="W57" s="215"/>
      <c r="X57" s="215"/>
      <c r="Y57" s="215"/>
      <c r="Z57" s="215"/>
      <c r="AA57" s="215"/>
    </row>
    <row r="58" spans="2:27" x14ac:dyDescent="0.25">
      <c r="B58" s="196"/>
      <c r="C58" s="196"/>
      <c r="D58" s="196"/>
      <c r="E58" s="196"/>
      <c r="F58" s="196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U58" s="197"/>
      <c r="V58" s="197"/>
      <c r="W58" s="197"/>
      <c r="X58" s="197"/>
      <c r="Y58" s="197"/>
      <c r="Z58" s="197"/>
      <c r="AA58" s="197"/>
    </row>
    <row r="59" spans="2:27" x14ac:dyDescent="0.25">
      <c r="B59" s="198" t="s">
        <v>186</v>
      </c>
      <c r="C59" s="411"/>
      <c r="D59" s="411"/>
      <c r="E59" s="411"/>
      <c r="F59" s="411"/>
      <c r="G59" s="107"/>
      <c r="H59" s="107"/>
      <c r="I59" s="107"/>
      <c r="J59" s="107"/>
      <c r="K59" s="181"/>
      <c r="L59" s="181"/>
      <c r="M59" s="181"/>
      <c r="N59" s="181"/>
      <c r="O59" s="181"/>
      <c r="P59" s="181"/>
      <c r="Q59" s="181"/>
      <c r="R59" s="181"/>
      <c r="S59" s="182"/>
      <c r="U59" s="449" t="s">
        <v>6</v>
      </c>
      <c r="V59" s="450" t="s">
        <v>7</v>
      </c>
      <c r="W59" s="450" t="s">
        <v>8</v>
      </c>
      <c r="X59" s="450" t="s">
        <v>9</v>
      </c>
      <c r="Y59" s="450" t="s">
        <v>10</v>
      </c>
      <c r="Z59" s="450" t="s">
        <v>98</v>
      </c>
      <c r="AA59" s="451" t="s">
        <v>239</v>
      </c>
    </row>
    <row r="60" spans="2:27" x14ac:dyDescent="0.25">
      <c r="B60" s="98" t="s">
        <v>187</v>
      </c>
      <c r="C60" s="185">
        <f>+C4/AVERAGE(280,C56)</f>
        <v>341.58546270913149</v>
      </c>
      <c r="D60" s="185">
        <f t="shared" ref="D60:G60" si="3">+D4/AVERAGE(C56:D56)</f>
        <v>349.93538863441393</v>
      </c>
      <c r="E60" s="185">
        <f t="shared" si="3"/>
        <v>356.72677011559659</v>
      </c>
      <c r="F60" s="185">
        <f t="shared" si="3"/>
        <v>370.92196027631041</v>
      </c>
      <c r="G60" s="147">
        <f t="shared" si="3"/>
        <v>376.37926673661661</v>
      </c>
      <c r="H60" s="169">
        <f t="shared" ref="H60:R60" si="4">+H4/AVERAGE(G56:H56)</f>
        <v>392.60340411020371</v>
      </c>
      <c r="I60" s="169">
        <f t="shared" si="4"/>
        <v>407.74868103112846</v>
      </c>
      <c r="J60" s="169">
        <f t="shared" si="4"/>
        <v>424.78745977887644</v>
      </c>
      <c r="K60" s="169">
        <f t="shared" si="4"/>
        <v>422.19109846740662</v>
      </c>
      <c r="L60" s="169">
        <f t="shared" si="4"/>
        <v>438.9531727314054</v>
      </c>
      <c r="M60" s="169">
        <f t="shared" si="4"/>
        <v>458.75832018257057</v>
      </c>
      <c r="N60" s="169">
        <f t="shared" si="4"/>
        <v>482.24642454968529</v>
      </c>
      <c r="O60" s="169">
        <f t="shared" si="4"/>
        <v>483.50899244818294</v>
      </c>
      <c r="P60" s="169">
        <f t="shared" si="4"/>
        <v>495.17092866756394</v>
      </c>
      <c r="Q60" s="169">
        <f t="shared" si="4"/>
        <v>516.4577054381449</v>
      </c>
      <c r="R60" s="169">
        <f t="shared" si="4"/>
        <v>530.39418181818189</v>
      </c>
      <c r="S60" s="170">
        <f>+S4/AVERAGE(R56:S56)</f>
        <v>522.41057934508819</v>
      </c>
      <c r="T60" s="452"/>
      <c r="U60" s="390"/>
      <c r="V60" s="169">
        <f t="shared" ref="V60:AA60" si="5">+V4/AVERAGE(U56:V56)</f>
        <v>338.960506721684</v>
      </c>
      <c r="W60" s="169">
        <f t="shared" si="5"/>
        <v>356.7657744449449</v>
      </c>
      <c r="X60" s="169">
        <f t="shared" si="5"/>
        <v>382.16201967862287</v>
      </c>
      <c r="Y60" s="169">
        <f t="shared" si="5"/>
        <v>429.29278132198482</v>
      </c>
      <c r="Z60" s="169">
        <f t="shared" si="5"/>
        <v>485.62823678355119</v>
      </c>
      <c r="AA60" s="170">
        <f t="shared" si="5"/>
        <v>534.5595811518325</v>
      </c>
    </row>
    <row r="61" spans="2:27" x14ac:dyDescent="0.25">
      <c r="B61" s="98" t="s">
        <v>188</v>
      </c>
      <c r="C61" s="185">
        <f>+C4/AVERAGE(5000,C69)</f>
        <v>20.391540187174321</v>
      </c>
      <c r="D61" s="185">
        <f t="shared" ref="D61:G61" si="6">+D4/AVERAGE(C69:D69)</f>
        <v>22.406991102667266</v>
      </c>
      <c r="E61" s="185">
        <f t="shared" si="6"/>
        <v>22.616135132528498</v>
      </c>
      <c r="F61" s="185">
        <f t="shared" si="6"/>
        <v>22.74591580051122</v>
      </c>
      <c r="G61" s="147">
        <f t="shared" si="6"/>
        <v>22.417462687545161</v>
      </c>
      <c r="H61" s="169">
        <f t="shared" ref="H61:S61" si="7">+H4/AVERAGE(G69:H69)</f>
        <v>22.619563179733134</v>
      </c>
      <c r="I61" s="169">
        <f t="shared" si="7"/>
        <v>22.21441388509712</v>
      </c>
      <c r="J61" s="169">
        <f t="shared" si="7"/>
        <v>23.385047513412889</v>
      </c>
      <c r="K61" s="169">
        <f t="shared" si="7"/>
        <v>24.970225186328634</v>
      </c>
      <c r="L61" s="169">
        <f t="shared" si="7"/>
        <v>26.803369308592508</v>
      </c>
      <c r="M61" s="169">
        <f t="shared" si="7"/>
        <v>27.592413766450623</v>
      </c>
      <c r="N61" s="169">
        <f t="shared" si="7"/>
        <v>28.856815803539796</v>
      </c>
      <c r="O61" s="169">
        <f t="shared" si="7"/>
        <v>29.78793191641698</v>
      </c>
      <c r="P61" s="169">
        <f t="shared" si="7"/>
        <v>31.53981997428204</v>
      </c>
      <c r="Q61" s="169">
        <f t="shared" si="7"/>
        <v>31.943627276996096</v>
      </c>
      <c r="R61" s="169">
        <f t="shared" si="7"/>
        <v>30.214065251165202</v>
      </c>
      <c r="S61" s="170">
        <f t="shared" si="7"/>
        <v>28.7233571082335</v>
      </c>
      <c r="T61" s="453"/>
      <c r="U61" s="390"/>
      <c r="V61" s="169">
        <f t="shared" ref="V61:AA61" si="8">+V4/AVERAGE(U69:V69)</f>
        <v>23.096109182635853</v>
      </c>
      <c r="W61" s="169">
        <f t="shared" si="8"/>
        <v>23.934919045040608</v>
      </c>
      <c r="X61" s="169">
        <f t="shared" si="8"/>
        <v>23.750182013925716</v>
      </c>
      <c r="Y61" s="169">
        <f t="shared" si="8"/>
        <v>25.171751570052415</v>
      </c>
      <c r="Z61" s="169">
        <f t="shared" si="8"/>
        <v>28.594676094365511</v>
      </c>
      <c r="AA61" s="170">
        <f t="shared" si="8"/>
        <v>30.688572287345959</v>
      </c>
    </row>
    <row r="62" spans="2:27" x14ac:dyDescent="0.25">
      <c r="B62" s="98" t="s">
        <v>189</v>
      </c>
      <c r="C62" s="185">
        <f t="shared" ref="C62" si="9">+C5/AVERAGE(B56:C56)*4</f>
        <v>65.369611307420485</v>
      </c>
      <c r="D62" s="185">
        <f t="shared" ref="D62:G62" si="10">+D5/AVERAGE(C56:D56)*4</f>
        <v>124.36493903062069</v>
      </c>
      <c r="E62" s="185">
        <f t="shared" si="10"/>
        <v>127.85202200658824</v>
      </c>
      <c r="F62" s="185">
        <f t="shared" si="10"/>
        <v>168.26124353869284</v>
      </c>
      <c r="G62" s="147">
        <f t="shared" si="10"/>
        <v>138.43416889772152</v>
      </c>
      <c r="H62" s="169">
        <f t="shared" ref="H62:S62" si="11">+H5/AVERAGE(G56:H56)*4</f>
        <v>143.56703668419419</v>
      </c>
      <c r="I62" s="169">
        <f t="shared" si="11"/>
        <v>149.83328464336432</v>
      </c>
      <c r="J62" s="169">
        <f t="shared" si="11"/>
        <v>189.71602487268294</v>
      </c>
      <c r="K62" s="169">
        <f t="shared" si="11"/>
        <v>123.13707981244957</v>
      </c>
      <c r="L62" s="169">
        <f t="shared" si="11"/>
        <v>144.23588195679082</v>
      </c>
      <c r="M62" s="169">
        <f t="shared" si="11"/>
        <v>155.48327126139691</v>
      </c>
      <c r="N62" s="169">
        <f t="shared" si="11"/>
        <v>210.93270371282404</v>
      </c>
      <c r="O62" s="169">
        <f t="shared" si="11"/>
        <v>131.26504065040652</v>
      </c>
      <c r="P62" s="169">
        <f t="shared" si="11"/>
        <v>139.32976780763391</v>
      </c>
      <c r="Q62" s="169">
        <f t="shared" si="11"/>
        <v>171.19104694861747</v>
      </c>
      <c r="R62" s="169">
        <f t="shared" si="11"/>
        <v>210.26952278208833</v>
      </c>
      <c r="S62" s="170">
        <f t="shared" si="11"/>
        <v>115.40554156171285</v>
      </c>
      <c r="T62" s="453"/>
      <c r="U62" s="149"/>
      <c r="V62" s="169">
        <f t="shared" ref="V62:AA62" si="12">+V5/AVERAGE(U56:V56)</f>
        <v>127.40826086956523</v>
      </c>
      <c r="W62" s="169">
        <f t="shared" si="12"/>
        <v>100.25863251969436</v>
      </c>
      <c r="X62" s="169">
        <f t="shared" si="12"/>
        <v>121.28738582491582</v>
      </c>
      <c r="Y62" s="169">
        <f t="shared" si="12"/>
        <v>152.25882140745432</v>
      </c>
      <c r="Z62" s="169">
        <f t="shared" si="12"/>
        <v>156.58401122019634</v>
      </c>
      <c r="AA62" s="170">
        <f t="shared" si="12"/>
        <v>160.28811518324608</v>
      </c>
    </row>
    <row r="63" spans="2:27" x14ac:dyDescent="0.25">
      <c r="B63" s="98" t="s">
        <v>190</v>
      </c>
      <c r="C63" s="185">
        <f>+C5/AVERAGE(5000,C69)*4</f>
        <v>3.9231470681794081</v>
      </c>
      <c r="D63" s="185">
        <f t="shared" ref="D63:G63" si="13">+D5/AVERAGE(C69:D69)*4</f>
        <v>7.9633102934157645</v>
      </c>
      <c r="E63" s="185">
        <f t="shared" si="13"/>
        <v>8.1056955880575394</v>
      </c>
      <c r="F63" s="185">
        <f t="shared" si="13"/>
        <v>10.318224553675352</v>
      </c>
      <c r="G63" s="147">
        <f t="shared" si="13"/>
        <v>8.2452544287399867</v>
      </c>
      <c r="H63" s="169">
        <f t="shared" ref="H63:S63" si="14">+H5/AVERAGE(G69:H69)*4</f>
        <v>8.2715117159138121</v>
      </c>
      <c r="I63" s="169">
        <f t="shared" si="14"/>
        <v>8.163014998391029</v>
      </c>
      <c r="J63" s="169">
        <f t="shared" si="14"/>
        <v>10.444089517173945</v>
      </c>
      <c r="K63" s="169">
        <f t="shared" si="14"/>
        <v>7.282864614780979</v>
      </c>
      <c r="L63" s="169">
        <f t="shared" si="14"/>
        <v>8.8073349318379837</v>
      </c>
      <c r="M63" s="169">
        <f t="shared" si="14"/>
        <v>9.3516750883088147</v>
      </c>
      <c r="N63" s="169">
        <f t="shared" si="14"/>
        <v>12.621858593700113</v>
      </c>
      <c r="O63" s="169">
        <f t="shared" si="14"/>
        <v>8.0869521662910095</v>
      </c>
      <c r="P63" s="169">
        <f t="shared" si="14"/>
        <v>8.8745835817464194</v>
      </c>
      <c r="Q63" s="169">
        <f t="shared" si="14"/>
        <v>10.588404315211292</v>
      </c>
      <c r="R63" s="169">
        <f t="shared" si="14"/>
        <v>11.978067066820152</v>
      </c>
      <c r="S63" s="170">
        <f t="shared" si="14"/>
        <v>6.3452669482722799</v>
      </c>
      <c r="T63" s="453"/>
      <c r="U63" s="149"/>
      <c r="V63" s="169">
        <f t="shared" ref="V63:AA63" si="15">+V5/AVERAGE(U69:V69)</f>
        <v>8.6813509109761515</v>
      </c>
      <c r="W63" s="169">
        <f t="shared" si="15"/>
        <v>6.7262120551187357</v>
      </c>
      <c r="X63" s="169">
        <f t="shared" si="15"/>
        <v>7.5376341473111523</v>
      </c>
      <c r="Y63" s="169">
        <f t="shared" si="15"/>
        <v>8.9277560526758926</v>
      </c>
      <c r="Z63" s="169">
        <f t="shared" si="15"/>
        <v>9.2199521017425052</v>
      </c>
      <c r="AA63" s="170">
        <f t="shared" si="15"/>
        <v>9.2019927862939586</v>
      </c>
    </row>
    <row r="64" spans="2:27" s="205" customFormat="1" x14ac:dyDescent="0.25">
      <c r="B64" s="201" t="s">
        <v>191</v>
      </c>
      <c r="C64" s="202">
        <f>+MROUND((AVERAGE(5000,C69)/AVERAGE(280,C56)),1)</f>
        <v>17</v>
      </c>
      <c r="D64" s="202">
        <f t="shared" ref="D64:G64" si="16">+MROUND((AVERAGE(C69:D69)/AVERAGE(C56:D56)),1)</f>
        <v>16</v>
      </c>
      <c r="E64" s="202">
        <f t="shared" si="16"/>
        <v>16</v>
      </c>
      <c r="F64" s="202">
        <f t="shared" si="16"/>
        <v>16</v>
      </c>
      <c r="G64" s="202">
        <f t="shared" si="16"/>
        <v>17</v>
      </c>
      <c r="H64" s="202">
        <f t="shared" ref="H64:S64" si="17">+MROUND((AVERAGE(G69:H69)/AVERAGE(G56:H56)),1)</f>
        <v>17</v>
      </c>
      <c r="I64" s="202">
        <f t="shared" si="17"/>
        <v>18</v>
      </c>
      <c r="J64" s="202">
        <f t="shared" si="17"/>
        <v>18</v>
      </c>
      <c r="K64" s="202">
        <f t="shared" si="17"/>
        <v>17</v>
      </c>
      <c r="L64" s="202">
        <f t="shared" si="17"/>
        <v>16</v>
      </c>
      <c r="M64" s="202">
        <f t="shared" si="17"/>
        <v>17</v>
      </c>
      <c r="N64" s="202">
        <f t="shared" si="17"/>
        <v>17</v>
      </c>
      <c r="O64" s="202">
        <f t="shared" si="17"/>
        <v>16</v>
      </c>
      <c r="P64" s="202">
        <f t="shared" si="17"/>
        <v>16</v>
      </c>
      <c r="Q64" s="202">
        <f t="shared" si="17"/>
        <v>16</v>
      </c>
      <c r="R64" s="202">
        <f t="shared" si="17"/>
        <v>18</v>
      </c>
      <c r="S64" s="203">
        <f t="shared" si="17"/>
        <v>18</v>
      </c>
      <c r="T64" s="454"/>
      <c r="U64" s="201"/>
      <c r="V64" s="202">
        <f>+MROUND((AVERAGE(U69:V69)/AVERAGE(U56:V56)),1)</f>
        <v>15</v>
      </c>
      <c r="W64" s="202">
        <f>+MROUND((AVERAGE(V69:W69)/AVERAGE(V56:W56)),1)</f>
        <v>15</v>
      </c>
      <c r="X64" s="202">
        <f>+MROUND((AVERAGE(W69:X69)/AVERAGE(W56:X56)),1)</f>
        <v>16</v>
      </c>
      <c r="Y64" s="202">
        <f>+MROUND((AVERAGE(X69:Y69)/AVERAGE(X56:Y56)),1)</f>
        <v>17</v>
      </c>
      <c r="Z64" s="202">
        <f>+MROUND((AVERAGE(Y69:Z69)/AVERAGE(Y56:Z56)),1)</f>
        <v>17</v>
      </c>
      <c r="AA64" s="203">
        <f t="shared" ref="AA64" si="18">+MROUND((AVERAGE(Z69:AA69)/AVERAGE(Z56:AA56)),1)</f>
        <v>17</v>
      </c>
    </row>
    <row r="65" spans="2:27" x14ac:dyDescent="0.25">
      <c r="B65" s="185"/>
      <c r="C65" s="185"/>
      <c r="D65" s="185"/>
      <c r="E65" s="185"/>
      <c r="F65" s="185"/>
      <c r="G65" s="147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U65" s="147"/>
      <c r="V65" s="147"/>
      <c r="W65" s="147"/>
      <c r="X65" s="147"/>
      <c r="Y65" s="147"/>
      <c r="Z65" s="147"/>
      <c r="AA65" s="147"/>
    </row>
    <row r="66" spans="2:27" x14ac:dyDescent="0.25">
      <c r="B66" s="196"/>
      <c r="C66" s="196"/>
      <c r="D66" s="196"/>
      <c r="E66" s="196"/>
      <c r="F66" s="196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U66" s="197"/>
      <c r="V66" s="197"/>
      <c r="W66" s="197"/>
      <c r="X66" s="197"/>
      <c r="Y66" s="197"/>
      <c r="Z66" s="197"/>
      <c r="AA66" s="197"/>
    </row>
    <row r="67" spans="2:27" x14ac:dyDescent="0.25">
      <c r="B67" s="198" t="s">
        <v>49</v>
      </c>
      <c r="C67" s="411"/>
      <c r="D67" s="411"/>
      <c r="E67" s="411"/>
      <c r="F67" s="411"/>
      <c r="G67" s="107"/>
      <c r="H67" s="107"/>
      <c r="I67" s="107"/>
      <c r="J67" s="107"/>
      <c r="K67" s="181"/>
      <c r="L67" s="181"/>
      <c r="M67" s="181"/>
      <c r="N67" s="181"/>
      <c r="O67" s="181"/>
      <c r="P67" s="181"/>
      <c r="Q67" s="181"/>
      <c r="R67" s="181"/>
      <c r="S67" s="182"/>
      <c r="U67" s="136"/>
      <c r="V67" s="136"/>
      <c r="W67" s="136"/>
      <c r="X67" s="136"/>
      <c r="Y67" s="136"/>
      <c r="Z67" s="136"/>
      <c r="AA67" s="438"/>
    </row>
    <row r="68" spans="2:27" x14ac:dyDescent="0.25">
      <c r="B68" s="97" t="s">
        <v>50</v>
      </c>
      <c r="C68" s="144">
        <v>12</v>
      </c>
      <c r="D68" s="144">
        <v>13</v>
      </c>
      <c r="E68" s="144">
        <v>13</v>
      </c>
      <c r="F68" s="144">
        <v>13</v>
      </c>
      <c r="G68" s="199">
        <v>13</v>
      </c>
      <c r="H68" s="199">
        <v>13</v>
      </c>
      <c r="I68" s="199">
        <v>13</v>
      </c>
      <c r="J68" s="199">
        <v>13</v>
      </c>
      <c r="K68" s="199">
        <v>13</v>
      </c>
      <c r="L68" s="199">
        <v>13</v>
      </c>
      <c r="M68" s="199">
        <v>13</v>
      </c>
      <c r="N68" s="199">
        <v>13</v>
      </c>
      <c r="O68" s="199">
        <v>13</v>
      </c>
      <c r="P68" s="199">
        <v>14</v>
      </c>
      <c r="Q68" s="199">
        <v>14</v>
      </c>
      <c r="R68" s="199">
        <v>14</v>
      </c>
      <c r="S68" s="200">
        <v>14</v>
      </c>
      <c r="U68" s="149">
        <v>10</v>
      </c>
      <c r="V68" s="147">
        <v>10</v>
      </c>
      <c r="W68" s="147">
        <v>11</v>
      </c>
      <c r="X68" s="147">
        <v>13</v>
      </c>
      <c r="Y68" s="147">
        <v>13</v>
      </c>
      <c r="Z68" s="147">
        <v>13</v>
      </c>
      <c r="AA68" s="200">
        <v>14</v>
      </c>
    </row>
    <row r="69" spans="2:27" x14ac:dyDescent="0.25">
      <c r="B69" s="98" t="s">
        <v>51</v>
      </c>
      <c r="C69" s="430">
        <v>4431</v>
      </c>
      <c r="D69" s="430">
        <v>4627</v>
      </c>
      <c r="E69" s="430">
        <v>4758</v>
      </c>
      <c r="F69" s="147">
        <v>5222</v>
      </c>
      <c r="G69" s="147">
        <v>5389</v>
      </c>
      <c r="H69" s="147">
        <v>5702</v>
      </c>
      <c r="I69" s="147">
        <v>6082</v>
      </c>
      <c r="J69" s="147">
        <v>6034</v>
      </c>
      <c r="K69" s="147">
        <v>5700</v>
      </c>
      <c r="L69" s="147">
        <v>5731</v>
      </c>
      <c r="M69" s="147">
        <v>5924</v>
      </c>
      <c r="N69" s="147">
        <v>6075</v>
      </c>
      <c r="O69" s="147">
        <v>5904</v>
      </c>
      <c r="P69" s="147">
        <v>5761</v>
      </c>
      <c r="Q69" s="147">
        <v>6284</v>
      </c>
      <c r="R69" s="147">
        <v>7233</v>
      </c>
      <c r="S69" s="148">
        <v>7208</v>
      </c>
      <c r="U69" s="149">
        <v>3187</v>
      </c>
      <c r="V69" s="147">
        <v>3564</v>
      </c>
      <c r="W69" s="147">
        <v>4336</v>
      </c>
      <c r="X69" s="147">
        <v>5222</v>
      </c>
      <c r="Y69" s="147">
        <v>6034</v>
      </c>
      <c r="Z69" s="205">
        <v>6075</v>
      </c>
      <c r="AA69" s="148">
        <v>7233</v>
      </c>
    </row>
    <row r="70" spans="2:27" s="205" customFormat="1" x14ac:dyDescent="0.25">
      <c r="B70" s="201" t="s">
        <v>134</v>
      </c>
      <c r="C70" s="202">
        <v>128921</v>
      </c>
      <c r="D70" s="202">
        <v>135453</v>
      </c>
      <c r="E70" s="202">
        <v>141311</v>
      </c>
      <c r="F70" s="202">
        <v>150837</v>
      </c>
      <c r="G70" s="202">
        <v>158979</v>
      </c>
      <c r="H70" s="202">
        <v>166639</v>
      </c>
      <c r="I70" s="202">
        <v>175001</v>
      </c>
      <c r="J70" s="202">
        <v>187149</v>
      </c>
      <c r="K70" s="202">
        <v>192446</v>
      </c>
      <c r="L70" s="202">
        <v>198947</v>
      </c>
      <c r="M70" s="202">
        <v>206618</v>
      </c>
      <c r="N70" s="202">
        <v>218101</v>
      </c>
      <c r="O70" s="202">
        <v>223658</v>
      </c>
      <c r="P70" s="202">
        <v>229183</v>
      </c>
      <c r="Q70" s="202">
        <v>236726</v>
      </c>
      <c r="R70" s="202">
        <v>246895</v>
      </c>
      <c r="S70" s="203">
        <v>250694</v>
      </c>
      <c r="T70" s="204"/>
      <c r="U70" s="201">
        <v>77488</v>
      </c>
      <c r="V70" s="202">
        <v>104745</v>
      </c>
      <c r="W70" s="202">
        <v>125591</v>
      </c>
      <c r="X70" s="202">
        <v>150837</v>
      </c>
      <c r="Y70" s="202">
        <v>187149</v>
      </c>
      <c r="Z70" s="202">
        <v>218101</v>
      </c>
      <c r="AA70" s="203">
        <v>246895</v>
      </c>
    </row>
    <row r="71" spans="2:27" x14ac:dyDescent="0.25">
      <c r="H71" s="206"/>
      <c r="I71" s="206"/>
      <c r="J71" s="206"/>
      <c r="K71" s="206"/>
      <c r="L71" s="206"/>
      <c r="M71" s="206"/>
      <c r="N71" s="206"/>
      <c r="O71" s="206"/>
      <c r="P71" s="206"/>
      <c r="Q71" s="284"/>
      <c r="R71" s="284"/>
      <c r="S71" s="284"/>
      <c r="V71" s="206"/>
      <c r="W71" s="206"/>
      <c r="X71" s="206"/>
      <c r="Y71" s="206"/>
      <c r="Z71" s="206"/>
      <c r="AA71" s="206"/>
    </row>
    <row r="72" spans="2:27" x14ac:dyDescent="0.25">
      <c r="V72" s="207"/>
      <c r="W72" s="207"/>
      <c r="X72" s="207"/>
      <c r="Y72" s="207"/>
      <c r="Z72" s="207"/>
      <c r="AA72" s="190"/>
    </row>
  </sheetData>
  <hyperlinks>
    <hyperlink ref="A1" location="Index!A1" display="Index" xr:uid="{00000000-0004-0000-03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K41"/>
  <sheetViews>
    <sheetView showGridLines="0" zoomScale="80" zoomScaleNormal="8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S3" sqref="S3"/>
    </sheetView>
  </sheetViews>
  <sheetFormatPr defaultColWidth="9.140625" defaultRowHeight="15" x14ac:dyDescent="0.25"/>
  <cols>
    <col min="1" max="1" width="5.85546875" style="143" bestFit="1" customWidth="1"/>
    <col min="2" max="2" width="41.140625" style="20" bestFit="1" customWidth="1"/>
    <col min="3" max="6" width="9.85546875" style="20" bestFit="1" customWidth="1"/>
    <col min="7" max="7" width="8.5703125" style="143" bestFit="1" customWidth="1"/>
    <col min="8" max="16" width="10.140625" style="143" bestFit="1" customWidth="1"/>
    <col min="17" max="19" width="10.140625" style="143" customWidth="1"/>
    <col min="20" max="20" width="7.7109375" style="143" bestFit="1" customWidth="1"/>
    <col min="21" max="24" width="8.5703125" style="143" bestFit="1" customWidth="1"/>
    <col min="25" max="27" width="10.140625" style="143" bestFit="1" customWidth="1"/>
    <col min="28" max="16384" width="9.140625" style="143"/>
  </cols>
  <sheetData>
    <row r="1" spans="1:27" x14ac:dyDescent="0.25">
      <c r="A1" s="142" t="s">
        <v>0</v>
      </c>
    </row>
    <row r="2" spans="1:27" x14ac:dyDescent="0.25">
      <c r="A2" s="266"/>
      <c r="B2" s="267"/>
      <c r="C2" s="267"/>
      <c r="D2" s="267"/>
      <c r="E2" s="267"/>
      <c r="F2" s="267"/>
      <c r="X2" s="244"/>
    </row>
    <row r="3" spans="1:27" s="130" customFormat="1" x14ac:dyDescent="0.25">
      <c r="B3" s="141" t="s">
        <v>163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238</v>
      </c>
      <c r="S3" s="131" t="s">
        <v>252</v>
      </c>
      <c r="U3" s="132" t="s">
        <v>6</v>
      </c>
      <c r="V3" s="107" t="s">
        <v>7</v>
      </c>
      <c r="W3" s="107" t="s">
        <v>8</v>
      </c>
      <c r="X3" s="107" t="s">
        <v>9</v>
      </c>
      <c r="Y3" s="107" t="s">
        <v>10</v>
      </c>
      <c r="Z3" s="107" t="s">
        <v>98</v>
      </c>
      <c r="AA3" s="131" t="s">
        <v>239</v>
      </c>
    </row>
    <row r="4" spans="1:27" s="205" customFormat="1" x14ac:dyDescent="0.25">
      <c r="A4" s="268"/>
      <c r="B4" s="146" t="s">
        <v>145</v>
      </c>
      <c r="C4" s="144">
        <v>894.2</v>
      </c>
      <c r="D4" s="144">
        <v>795.1</v>
      </c>
      <c r="E4" s="144">
        <v>1473.2</v>
      </c>
      <c r="F4" s="144">
        <v>903.6</v>
      </c>
      <c r="G4" s="127">
        <v>1044.5999999999999</v>
      </c>
      <c r="H4" s="127">
        <v>1112.8</v>
      </c>
      <c r="I4" s="127">
        <v>1204</v>
      </c>
      <c r="J4" s="127">
        <v>1066.9000000000001</v>
      </c>
      <c r="K4" s="127">
        <v>1193.4340391651431</v>
      </c>
      <c r="L4" s="127">
        <v>1294.7</v>
      </c>
      <c r="M4" s="127">
        <v>1425</v>
      </c>
      <c r="N4" s="127">
        <v>1318.5775269907931</v>
      </c>
      <c r="O4" s="127">
        <v>1466.1211016043139</v>
      </c>
      <c r="P4" s="127">
        <v>1600.6465291349186</v>
      </c>
      <c r="Q4" s="127">
        <v>1756.8639452074319</v>
      </c>
      <c r="R4" s="127">
        <v>1763.3902252789906</v>
      </c>
      <c r="S4" s="128">
        <v>1987.4167937259733</v>
      </c>
      <c r="T4" s="147"/>
      <c r="U4" s="129">
        <v>222.70436914221301</v>
      </c>
      <c r="V4" s="127">
        <v>284.11734000000001</v>
      </c>
      <c r="W4" s="127">
        <v>739.13531215617297</v>
      </c>
      <c r="X4" s="127">
        <v>903.6</v>
      </c>
      <c r="Y4" s="127">
        <v>1066.9000000000001</v>
      </c>
      <c r="Z4" s="127">
        <v>1318.5775269907931</v>
      </c>
      <c r="AA4" s="128">
        <v>1763.3902252789906</v>
      </c>
    </row>
    <row r="5" spans="1:27" s="205" customFormat="1" x14ac:dyDescent="0.25">
      <c r="A5" s="268"/>
      <c r="B5" s="149" t="s">
        <v>146</v>
      </c>
      <c r="C5" s="147">
        <v>670.4</v>
      </c>
      <c r="D5" s="147">
        <v>588.5</v>
      </c>
      <c r="E5" s="147">
        <v>1128.9000000000001</v>
      </c>
      <c r="F5" s="147">
        <v>695.3</v>
      </c>
      <c r="G5" s="18">
        <v>804.89999999999986</v>
      </c>
      <c r="H5" s="18">
        <v>848.09999999999991</v>
      </c>
      <c r="I5" s="18">
        <v>916.5</v>
      </c>
      <c r="J5" s="18">
        <v>779.80000000000007</v>
      </c>
      <c r="K5" s="18">
        <v>871.83620852588763</v>
      </c>
      <c r="L5" s="18">
        <v>938.7</v>
      </c>
      <c r="M5" s="18">
        <v>1032.9000000000001</v>
      </c>
      <c r="N5" s="18">
        <v>938.6615135585289</v>
      </c>
      <c r="O5" s="18">
        <v>1043.4183455911648</v>
      </c>
      <c r="P5" s="18">
        <v>1141.2808532369772</v>
      </c>
      <c r="Q5" s="18">
        <v>1233.2599708425391</v>
      </c>
      <c r="R5" s="18">
        <v>1191.4636147403394</v>
      </c>
      <c r="S5" s="82">
        <v>1360.897034650206</v>
      </c>
      <c r="T5" s="147"/>
      <c r="U5" s="81">
        <v>174.12282026047251</v>
      </c>
      <c r="V5" s="18">
        <v>210.19226300000003</v>
      </c>
      <c r="W5" s="18">
        <v>537.75514715617305</v>
      </c>
      <c r="X5" s="18">
        <v>695.26335169603396</v>
      </c>
      <c r="Y5" s="18">
        <v>779.80000000000007</v>
      </c>
      <c r="Z5" s="18">
        <v>938.6615135585289</v>
      </c>
      <c r="AA5" s="82">
        <v>1191.4636147403394</v>
      </c>
    </row>
    <row r="6" spans="1:27" x14ac:dyDescent="0.25">
      <c r="A6" s="266"/>
      <c r="B6" s="98" t="s">
        <v>147</v>
      </c>
      <c r="C6" s="414">
        <v>1.1426130879423953E-2</v>
      </c>
      <c r="D6" s="414">
        <v>9.6059002766257645E-3</v>
      </c>
      <c r="E6" s="414">
        <v>1.7216122075727588E-2</v>
      </c>
      <c r="F6" s="414">
        <v>9.9000000000000008E-3</v>
      </c>
      <c r="G6" s="124">
        <v>1.081747566326057E-2</v>
      </c>
      <c r="H6" s="124">
        <v>1.0999999999999999E-2</v>
      </c>
      <c r="I6" s="124">
        <v>1.1339579337477364E-2</v>
      </c>
      <c r="J6" s="124">
        <v>9.2388934184662388E-3</v>
      </c>
      <c r="K6" s="124">
        <v>9.9527842197109657E-3</v>
      </c>
      <c r="L6" s="124">
        <v>1.041470608266656E-2</v>
      </c>
      <c r="M6" s="124">
        <v>1.0895728800843359E-2</v>
      </c>
      <c r="N6" s="124">
        <v>9.3587917321395798E-3</v>
      </c>
      <c r="O6" s="124">
        <v>1.0086646213545962E-2</v>
      </c>
      <c r="P6" s="124">
        <v>1.0808484281631938E-2</v>
      </c>
      <c r="Q6" s="124">
        <v>1.1395166469305017E-2</v>
      </c>
      <c r="R6" s="124">
        <v>1.0793816651892411E-2</v>
      </c>
      <c r="S6" s="125">
        <v>1.2200000000000001E-2</v>
      </c>
      <c r="T6" s="269"/>
      <c r="U6" s="126">
        <v>4.7000000000000002E-3</v>
      </c>
      <c r="V6" s="124">
        <v>4.5999999999999999E-3</v>
      </c>
      <c r="W6" s="124">
        <v>9.7999999999999997E-3</v>
      </c>
      <c r="X6" s="124">
        <v>9.9000000000000008E-3</v>
      </c>
      <c r="Y6" s="124">
        <v>9.2388934184662388E-3</v>
      </c>
      <c r="Z6" s="124">
        <v>9.3587917321395798E-3</v>
      </c>
      <c r="AA6" s="125">
        <v>1.0793816651892411E-2</v>
      </c>
    </row>
    <row r="7" spans="1:27" x14ac:dyDescent="0.25">
      <c r="A7" s="266"/>
      <c r="B7" s="98" t="s">
        <v>148</v>
      </c>
      <c r="C7" s="414">
        <v>8.6399466183151377E-3</v>
      </c>
      <c r="D7" s="414">
        <v>7.160477953643103E-3</v>
      </c>
      <c r="E7" s="414">
        <v>1.3316535892753641E-2</v>
      </c>
      <c r="F7" s="414">
        <v>7.7000000000000002E-3</v>
      </c>
      <c r="G7" s="124">
        <v>8.3914814553125699E-3</v>
      </c>
      <c r="H7" s="124">
        <v>8.4127637119694124E-3</v>
      </c>
      <c r="I7" s="124">
        <v>8.6870910484224927E-3</v>
      </c>
      <c r="J7" s="124">
        <v>6.7952650428141602E-3</v>
      </c>
      <c r="K7" s="124">
        <v>7.3149602243413707E-3</v>
      </c>
      <c r="L7" s="124">
        <v>7.5685711114169812E-3</v>
      </c>
      <c r="M7" s="124">
        <v>7.9493317707287278E-3</v>
      </c>
      <c r="N7" s="124">
        <v>6.702634534052186E-3</v>
      </c>
      <c r="O7" s="124">
        <v>7.2236287217406544E-3</v>
      </c>
      <c r="P7" s="124">
        <v>7.7561353171733544E-3</v>
      </c>
      <c r="Q7" s="124">
        <v>8.0515329827484071E-3</v>
      </c>
      <c r="R7" s="124">
        <v>7.3412504947023517E-3</v>
      </c>
      <c r="S7" s="125">
        <v>8.3864915454957729E-3</v>
      </c>
      <c r="T7" s="269"/>
      <c r="U7" s="126">
        <v>3.7000000000000002E-3</v>
      </c>
      <c r="V7" s="124">
        <v>3.3999999999999998E-3</v>
      </c>
      <c r="W7" s="124">
        <v>7.1000000000000004E-3</v>
      </c>
      <c r="X7" s="124">
        <v>7.7000000000000002E-3</v>
      </c>
      <c r="Y7" s="124">
        <v>6.7952650428141602E-3</v>
      </c>
      <c r="Z7" s="124">
        <v>6.702634534052186E-3</v>
      </c>
      <c r="AA7" s="125">
        <v>7.3412504947023517E-3</v>
      </c>
    </row>
    <row r="8" spans="1:27" x14ac:dyDescent="0.25">
      <c r="A8" s="266"/>
      <c r="B8" s="98" t="s">
        <v>149</v>
      </c>
      <c r="C8" s="414">
        <v>0.12667244620338372</v>
      </c>
      <c r="D8" s="414">
        <v>8.8800000000000004E-2</v>
      </c>
      <c r="E8" s="414">
        <v>6.4500000000000002E-2</v>
      </c>
      <c r="F8" s="414">
        <v>4.4719501209066349E-2</v>
      </c>
      <c r="G8" s="269">
        <v>4.6745181427818576E-2</v>
      </c>
      <c r="H8" s="269">
        <v>4.4490000000000002E-2</v>
      </c>
      <c r="I8" s="269">
        <v>4.0488374175160123E-2</v>
      </c>
      <c r="J8" s="269">
        <v>3.301213985249235E-2</v>
      </c>
      <c r="K8" s="269">
        <v>3.6812593386020512E-2</v>
      </c>
      <c r="L8" s="269">
        <v>3.5757898623195283E-2</v>
      </c>
      <c r="M8" s="269">
        <v>3.7537112276305441E-2</v>
      </c>
      <c r="N8" s="269">
        <v>3.1199999999999999E-2</v>
      </c>
      <c r="O8" s="269">
        <v>3.6499999999999998E-2</v>
      </c>
      <c r="P8" s="269">
        <v>3.9665775458161801E-2</v>
      </c>
      <c r="Q8" s="269">
        <v>3.85E-2</v>
      </c>
      <c r="R8" s="269">
        <v>3.39E-2</v>
      </c>
      <c r="S8" s="270">
        <v>4.1500000000000002E-2</v>
      </c>
      <c r="T8" s="269"/>
      <c r="U8" s="271">
        <v>3.4299999999999997E-2</v>
      </c>
      <c r="V8" s="269">
        <v>2.4299999999999999E-2</v>
      </c>
      <c r="W8" s="269">
        <v>6.3700000000000007E-2</v>
      </c>
      <c r="X8" s="269">
        <v>4.4699999999999997E-2</v>
      </c>
      <c r="Y8" s="269">
        <v>3.301213985249235E-2</v>
      </c>
      <c r="Z8" s="269">
        <v>3.1199999999999999E-2</v>
      </c>
      <c r="AA8" s="270">
        <v>3.39E-2</v>
      </c>
    </row>
    <row r="9" spans="1:27" x14ac:dyDescent="0.25">
      <c r="A9" s="266"/>
      <c r="B9" s="99" t="s">
        <v>150</v>
      </c>
      <c r="C9" s="415">
        <v>3.3037130504961848E-2</v>
      </c>
      <c r="D9" s="415">
        <v>4.9996299984670908E-2</v>
      </c>
      <c r="E9" s="415">
        <v>4.6415406658341762E-2</v>
      </c>
      <c r="F9" s="415">
        <v>5.5178997734326073E-2</v>
      </c>
      <c r="G9" s="272">
        <v>3.2542159674406318E-4</v>
      </c>
      <c r="H9" s="272">
        <v>5.5165323225250286E-4</v>
      </c>
      <c r="I9" s="272">
        <v>1.1485965815828236E-3</v>
      </c>
      <c r="J9" s="272">
        <v>1.9652346428763452E-3</v>
      </c>
      <c r="K9" s="272">
        <v>1.6325302937604006E-3</v>
      </c>
      <c r="L9" s="272">
        <v>1.7711987572870311E-3</v>
      </c>
      <c r="M9" s="272">
        <v>2.0903109285992003E-3</v>
      </c>
      <c r="N9" s="272">
        <v>1.0798977442600132E-3</v>
      </c>
      <c r="O9" s="272">
        <v>2.0269237840477398E-3</v>
      </c>
      <c r="P9" s="272">
        <v>1.1401355647453831E-3</v>
      </c>
      <c r="Q9" s="415">
        <v>1.3970648634727852E-3</v>
      </c>
      <c r="R9" s="415">
        <v>1.6741084609058537E-3</v>
      </c>
      <c r="S9" s="512">
        <f>+'Yields, Margins &amp; Ratios'!S15</f>
        <v>2.3773059184800044E-3</v>
      </c>
      <c r="T9" s="269"/>
      <c r="U9" s="274">
        <v>1.8408488522229029E-3</v>
      </c>
      <c r="V9" s="272">
        <v>2.309057585792044E-3</v>
      </c>
      <c r="W9" s="272">
        <v>4.4696554742849649E-3</v>
      </c>
      <c r="X9" s="272">
        <v>2.2627339472700491E-3</v>
      </c>
      <c r="Y9" s="272">
        <v>1.0169405683210333E-3</v>
      </c>
      <c r="Z9" s="272">
        <v>1.635399273453449E-3</v>
      </c>
      <c r="AA9" s="273">
        <v>1.5438764816289043E-3</v>
      </c>
    </row>
    <row r="10" spans="1:27" x14ac:dyDescent="0.25">
      <c r="A10" s="266"/>
      <c r="B10" s="150" t="s">
        <v>130</v>
      </c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439"/>
      <c r="R10" s="439"/>
      <c r="S10" s="513"/>
      <c r="U10" s="276"/>
      <c r="V10" s="277"/>
      <c r="W10" s="277"/>
      <c r="X10" s="277"/>
      <c r="Y10" s="277"/>
      <c r="Z10" s="277"/>
      <c r="AA10" s="278"/>
    </row>
    <row r="11" spans="1:27" x14ac:dyDescent="0.25">
      <c r="A11" s="266"/>
      <c r="B11" s="97" t="s">
        <v>129</v>
      </c>
      <c r="C11" s="279">
        <v>1.1599999999999999E-2</v>
      </c>
      <c r="D11" s="279">
        <v>9.7599999999999996E-3</v>
      </c>
      <c r="E11" s="279">
        <v>1.7000000000000001E-2</v>
      </c>
      <c r="F11" s="279">
        <v>9.5999999999999992E-3</v>
      </c>
      <c r="G11" s="279">
        <v>1.0699999999999999E-2</v>
      </c>
      <c r="H11" s="279">
        <v>1.06E-2</v>
      </c>
      <c r="I11" s="279">
        <v>1.09E-2</v>
      </c>
      <c r="J11" s="279">
        <v>8.9999999999999993E-3</v>
      </c>
      <c r="K11" s="279">
        <v>9.5999999999999992E-3</v>
      </c>
      <c r="L11" s="279">
        <v>9.9000000000000008E-3</v>
      </c>
      <c r="M11" s="279">
        <v>1.03E-2</v>
      </c>
      <c r="N11" s="279">
        <v>8.8000000000000005E-3</v>
      </c>
      <c r="O11" s="279">
        <v>9.2999999999999992E-3</v>
      </c>
      <c r="P11" s="279">
        <v>9.8502375740703793E-3</v>
      </c>
      <c r="Q11" s="440">
        <v>1.0699999999999999E-2</v>
      </c>
      <c r="R11" s="440">
        <v>1.0200000000000001E-2</v>
      </c>
      <c r="S11" s="514">
        <v>1.15E-2</v>
      </c>
      <c r="T11" s="269"/>
      <c r="U11" s="281">
        <v>5.3E-3</v>
      </c>
      <c r="V11" s="279">
        <v>5.1999999999999998E-3</v>
      </c>
      <c r="W11" s="279">
        <v>0.01</v>
      </c>
      <c r="X11" s="279">
        <v>9.5999999999999992E-3</v>
      </c>
      <c r="Y11" s="279">
        <v>8.9999999999999993E-3</v>
      </c>
      <c r="Z11" s="279">
        <v>8.8000000000000005E-3</v>
      </c>
      <c r="AA11" s="280">
        <v>1.0200000000000001E-2</v>
      </c>
    </row>
    <row r="12" spans="1:27" x14ac:dyDescent="0.25">
      <c r="A12" s="266"/>
      <c r="B12" s="99" t="s">
        <v>143</v>
      </c>
      <c r="C12" s="415">
        <v>1.0999999999999999E-2</v>
      </c>
      <c r="D12" s="415">
        <v>9.1599999999999997E-3</v>
      </c>
      <c r="E12" s="415">
        <v>1.77E-2</v>
      </c>
      <c r="F12" s="415">
        <v>1.11E-2</v>
      </c>
      <c r="G12" s="272">
        <v>1.14E-2</v>
      </c>
      <c r="H12" s="272">
        <v>1.2200000000000001E-2</v>
      </c>
      <c r="I12" s="272">
        <v>1.29E-2</v>
      </c>
      <c r="J12" s="272">
        <v>9.9000000000000008E-3</v>
      </c>
      <c r="K12" s="272">
        <v>1.12E-2</v>
      </c>
      <c r="L12" s="272">
        <v>1.21E-2</v>
      </c>
      <c r="M12" s="272">
        <v>1.3100000000000001E-2</v>
      </c>
      <c r="N12" s="272">
        <v>1.1599999999999999E-2</v>
      </c>
      <c r="O12" s="272">
        <v>1.3299999999999999E-2</v>
      </c>
      <c r="P12" s="272">
        <v>1.4850175841967609E-2</v>
      </c>
      <c r="Q12" s="272">
        <v>1.4500000000000001E-2</v>
      </c>
      <c r="R12" s="272">
        <v>1.32E-2</v>
      </c>
      <c r="S12" s="273">
        <v>1.47E-2</v>
      </c>
      <c r="T12" s="269"/>
      <c r="U12" s="274">
        <v>2.7000000000000001E-3</v>
      </c>
      <c r="V12" s="272">
        <v>2.7000000000000001E-3</v>
      </c>
      <c r="W12" s="272">
        <v>8.9999999999999993E-3</v>
      </c>
      <c r="X12" s="272">
        <v>1.11E-2</v>
      </c>
      <c r="Y12" s="272">
        <v>9.9000000000000008E-3</v>
      </c>
      <c r="Z12" s="272">
        <v>1.1599999999999999E-2</v>
      </c>
      <c r="AA12" s="273">
        <v>1.32E-2</v>
      </c>
    </row>
    <row r="13" spans="1:27" x14ac:dyDescent="0.25">
      <c r="A13" s="282"/>
      <c r="B13" s="185"/>
      <c r="C13" s="185"/>
      <c r="D13" s="185"/>
      <c r="E13" s="185"/>
      <c r="F13" s="185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</row>
    <row r="14" spans="1:27" s="130" customFormat="1" x14ac:dyDescent="0.25">
      <c r="B14" s="141" t="s">
        <v>140</v>
      </c>
      <c r="C14" s="403" t="s">
        <v>178</v>
      </c>
      <c r="D14" s="403" t="s">
        <v>179</v>
      </c>
      <c r="E14" s="403" t="s">
        <v>180</v>
      </c>
      <c r="F14" s="403" t="s">
        <v>181</v>
      </c>
      <c r="G14" s="107" t="s">
        <v>108</v>
      </c>
      <c r="H14" s="107" t="s">
        <v>107</v>
      </c>
      <c r="I14" s="107" t="s">
        <v>106</v>
      </c>
      <c r="J14" s="107" t="s">
        <v>105</v>
      </c>
      <c r="K14" s="107" t="s">
        <v>1</v>
      </c>
      <c r="L14" s="107" t="s">
        <v>2</v>
      </c>
      <c r="M14" s="107" t="s">
        <v>3</v>
      </c>
      <c r="N14" s="107" t="s">
        <v>96</v>
      </c>
      <c r="O14" s="107" t="s">
        <v>97</v>
      </c>
      <c r="P14" s="107" t="s">
        <v>131</v>
      </c>
      <c r="Q14" s="107" t="s">
        <v>174</v>
      </c>
      <c r="R14" s="107" t="s">
        <v>238</v>
      </c>
      <c r="S14" s="131" t="str">
        <f>+S3</f>
        <v>Q1FY26</v>
      </c>
      <c r="U14" s="132" t="s">
        <v>167</v>
      </c>
      <c r="V14" s="107" t="s">
        <v>7</v>
      </c>
      <c r="W14" s="107" t="s">
        <v>8</v>
      </c>
      <c r="X14" s="107" t="s">
        <v>9</v>
      </c>
      <c r="Y14" s="107" t="s">
        <v>10</v>
      </c>
      <c r="Z14" s="107" t="s">
        <v>98</v>
      </c>
      <c r="AA14" s="131" t="s">
        <v>239</v>
      </c>
    </row>
    <row r="15" spans="1:27" s="205" customFormat="1" x14ac:dyDescent="0.25">
      <c r="A15" s="147"/>
      <c r="B15" s="98" t="s">
        <v>52</v>
      </c>
      <c r="C15" s="147">
        <v>894.2</v>
      </c>
      <c r="D15" s="147">
        <v>795.1</v>
      </c>
      <c r="E15" s="147">
        <v>1473.2</v>
      </c>
      <c r="F15" s="147">
        <v>903.6</v>
      </c>
      <c r="G15" s="18">
        <v>1044.5999999999999</v>
      </c>
      <c r="H15" s="18">
        <v>1112.8</v>
      </c>
      <c r="I15" s="18">
        <v>1204</v>
      </c>
      <c r="J15" s="18">
        <v>1066.9000000000001</v>
      </c>
      <c r="K15" s="18">
        <v>1193.4340391651431</v>
      </c>
      <c r="L15" s="18">
        <v>1294.7</v>
      </c>
      <c r="M15" s="18">
        <v>1425</v>
      </c>
      <c r="N15" s="18">
        <v>1318.5775269907931</v>
      </c>
      <c r="O15" s="18">
        <v>1466.1211016043139</v>
      </c>
      <c r="P15" s="18">
        <v>1600.6465291349186</v>
      </c>
      <c r="Q15" s="18">
        <v>1756.8639452074319</v>
      </c>
      <c r="R15" s="18">
        <v>1763.3902252789906</v>
      </c>
      <c r="S15" s="82">
        <f>+S4</f>
        <v>1987.4167937259733</v>
      </c>
      <c r="U15" s="381">
        <v>222.70436914221301</v>
      </c>
      <c r="V15" s="18">
        <v>284.11734000000001</v>
      </c>
      <c r="W15" s="18">
        <v>739.13531215617297</v>
      </c>
      <c r="X15" s="18">
        <v>903.6</v>
      </c>
      <c r="Y15" s="18">
        <v>1066.9000000000001</v>
      </c>
      <c r="Z15" s="18">
        <v>1318.5775269907931</v>
      </c>
      <c r="AA15" s="82">
        <v>1763.3902252789906</v>
      </c>
    </row>
    <row r="16" spans="1:27" x14ac:dyDescent="0.25">
      <c r="B16" s="98" t="s">
        <v>53</v>
      </c>
      <c r="C16" s="414">
        <v>1.1426130879423953E-2</v>
      </c>
      <c r="D16" s="414">
        <v>9.6059002766257645E-3</v>
      </c>
      <c r="E16" s="414">
        <v>1.7216122075727588E-2</v>
      </c>
      <c r="F16" s="414">
        <v>9.9000000000000008E-3</v>
      </c>
      <c r="G16" s="124">
        <v>1.0800000000000001E-2</v>
      </c>
      <c r="H16" s="124">
        <v>1.0999999999999999E-2</v>
      </c>
      <c r="I16" s="124">
        <v>1.1299999999999999E-2</v>
      </c>
      <c r="J16" s="124">
        <v>9.1999999999999998E-3</v>
      </c>
      <c r="K16" s="124">
        <v>9.9527839079495417E-3</v>
      </c>
      <c r="L16" s="124">
        <v>1.04E-2</v>
      </c>
      <c r="M16" s="124">
        <v>1.09E-2</v>
      </c>
      <c r="N16" s="124">
        <v>9.3587915860038028E-3</v>
      </c>
      <c r="O16" s="124">
        <v>1.008664621354596E-2</v>
      </c>
      <c r="P16" s="124">
        <v>1.0808484281631938E-2</v>
      </c>
      <c r="Q16" s="124">
        <v>1.1395166469305017E-2</v>
      </c>
      <c r="R16" s="124">
        <v>1.0793816651892411E-2</v>
      </c>
      <c r="S16" s="125">
        <v>1.2161817065071644E-2</v>
      </c>
      <c r="T16" s="284"/>
      <c r="U16" s="361">
        <v>4.7000000000000002E-3</v>
      </c>
      <c r="V16" s="124">
        <v>4.5811601914992816E-3</v>
      </c>
      <c r="W16" s="124">
        <v>9.7603122128634579E-3</v>
      </c>
      <c r="X16" s="124">
        <v>9.9102798666642154E-3</v>
      </c>
      <c r="Y16" s="124">
        <v>9.1999999999999998E-3</v>
      </c>
      <c r="Z16" s="124">
        <v>9.3587915860038028E-3</v>
      </c>
      <c r="AA16" s="125">
        <v>1.0793816651892411E-2</v>
      </c>
    </row>
    <row r="17" spans="2:37" s="205" customFormat="1" x14ac:dyDescent="0.25">
      <c r="B17" s="98" t="s">
        <v>54</v>
      </c>
      <c r="C17" s="147">
        <v>223.80000000000007</v>
      </c>
      <c r="D17" s="147">
        <v>206.60000000000002</v>
      </c>
      <c r="E17" s="147">
        <v>344.29999999999995</v>
      </c>
      <c r="F17" s="147">
        <v>208.30000000000007</v>
      </c>
      <c r="G17" s="18">
        <v>239.7</v>
      </c>
      <c r="H17" s="18">
        <v>264.7</v>
      </c>
      <c r="I17" s="18">
        <v>287.5</v>
      </c>
      <c r="J17" s="18">
        <v>287.10000000000002</v>
      </c>
      <c r="K17" s="18">
        <v>321.59783063925545</v>
      </c>
      <c r="L17" s="18">
        <v>356</v>
      </c>
      <c r="M17" s="18">
        <v>392.1</v>
      </c>
      <c r="N17" s="18">
        <v>379.91601343226421</v>
      </c>
      <c r="O17" s="147">
        <v>422.70275601314916</v>
      </c>
      <c r="P17" s="147">
        <v>459.36567589794146</v>
      </c>
      <c r="Q17" s="147">
        <v>523.60397436489291</v>
      </c>
      <c r="R17" s="147">
        <v>571.92661053865106</v>
      </c>
      <c r="S17" s="148">
        <v>626.5197590757673</v>
      </c>
      <c r="U17" s="81">
        <v>48.581548881740503</v>
      </c>
      <c r="V17" s="18">
        <v>73.925077000000002</v>
      </c>
      <c r="W17" s="18">
        <v>201.38016499999998</v>
      </c>
      <c r="X17" s="18">
        <v>208.33664830396606</v>
      </c>
      <c r="Y17" s="18">
        <v>287.10000000000002</v>
      </c>
      <c r="Z17" s="18">
        <v>379.91601343226421</v>
      </c>
      <c r="AA17" s="82">
        <v>571.92661053865106</v>
      </c>
    </row>
    <row r="18" spans="2:37" s="205" customFormat="1" x14ac:dyDescent="0.25">
      <c r="B18" s="98" t="s">
        <v>55</v>
      </c>
      <c r="C18" s="147">
        <v>670.4</v>
      </c>
      <c r="D18" s="147">
        <v>588.5</v>
      </c>
      <c r="E18" s="147">
        <v>1128.9000000000001</v>
      </c>
      <c r="F18" s="147">
        <v>695.3</v>
      </c>
      <c r="G18" s="18">
        <v>804.89999999999986</v>
      </c>
      <c r="H18" s="18">
        <v>848.09999999999991</v>
      </c>
      <c r="I18" s="18">
        <v>916.5</v>
      </c>
      <c r="J18" s="18">
        <v>779.80000000000007</v>
      </c>
      <c r="K18" s="18">
        <v>871.83620852588763</v>
      </c>
      <c r="L18" s="18">
        <v>938.7</v>
      </c>
      <c r="M18" s="18">
        <v>1032.9000000000001</v>
      </c>
      <c r="N18" s="18">
        <v>938.6615135585289</v>
      </c>
      <c r="O18" s="18">
        <v>1043.4183455911648</v>
      </c>
      <c r="P18" s="18">
        <v>1141.2808532369772</v>
      </c>
      <c r="Q18" s="18">
        <v>1233.2599708425391</v>
      </c>
      <c r="R18" s="18">
        <v>1191.4636147403394</v>
      </c>
      <c r="S18" s="82">
        <v>1360.897034650206</v>
      </c>
      <c r="U18" s="81">
        <v>174.12282026047251</v>
      </c>
      <c r="V18" s="18">
        <v>210.19226300000003</v>
      </c>
      <c r="W18" s="18">
        <v>537.75514715617305</v>
      </c>
      <c r="X18" s="18">
        <v>695.26335169603396</v>
      </c>
      <c r="Y18" s="18">
        <v>779.80000000000007</v>
      </c>
      <c r="Z18" s="18">
        <v>938.6615135585289</v>
      </c>
      <c r="AA18" s="82">
        <v>1191.4636147403394</v>
      </c>
    </row>
    <row r="19" spans="2:37" s="244" customFormat="1" x14ac:dyDescent="0.25">
      <c r="B19" s="472" t="s">
        <v>56</v>
      </c>
      <c r="C19" s="474">
        <v>0.25027957951241342</v>
      </c>
      <c r="D19" s="474">
        <v>0.2598415293673752</v>
      </c>
      <c r="E19" s="474">
        <v>0.23370893293510722</v>
      </c>
      <c r="F19" s="474">
        <v>0.23052235502434712</v>
      </c>
      <c r="G19" s="353">
        <v>0.22946582423894299</v>
      </c>
      <c r="H19" s="353">
        <v>0.23786843997124374</v>
      </c>
      <c r="I19" s="353">
        <v>0.23878737541528239</v>
      </c>
      <c r="J19" s="353">
        <v>0.26909738494704283</v>
      </c>
      <c r="K19" s="353">
        <v>0.26947264790957914</v>
      </c>
      <c r="L19" s="353">
        <v>0.27496717386267089</v>
      </c>
      <c r="M19" s="353">
        <v>0.27515789473684205</v>
      </c>
      <c r="N19" s="353">
        <v>0.28812565484814068</v>
      </c>
      <c r="O19" s="353">
        <v>0.28831367037184275</v>
      </c>
      <c r="P19" s="353">
        <v>0.28698758129079815</v>
      </c>
      <c r="Q19" s="353">
        <v>0.29803330860835175</v>
      </c>
      <c r="R19" s="353">
        <v>0.32433354928468261</v>
      </c>
      <c r="S19" s="441">
        <v>0.31524326505321476</v>
      </c>
      <c r="U19" s="473">
        <v>0.21814367211950669</v>
      </c>
      <c r="V19" s="353">
        <v>0.26019206360301694</v>
      </c>
      <c r="W19" s="353">
        <v>0.27245371948546548</v>
      </c>
      <c r="X19" s="353">
        <v>0.23056291312966581</v>
      </c>
      <c r="Y19" s="353">
        <v>0.26909738494704283</v>
      </c>
      <c r="Z19" s="353">
        <v>0.28812565484814068</v>
      </c>
      <c r="AA19" s="441">
        <v>0.32433354928468261</v>
      </c>
    </row>
    <row r="20" spans="2:37" x14ac:dyDescent="0.25">
      <c r="B20" s="97"/>
      <c r="C20" s="405"/>
      <c r="D20" s="405"/>
      <c r="E20" s="405"/>
      <c r="F20" s="405"/>
      <c r="G20" s="84"/>
      <c r="H20" s="84"/>
      <c r="I20" s="84"/>
      <c r="J20" s="84"/>
      <c r="K20" s="84"/>
      <c r="L20" s="84"/>
      <c r="M20" s="84"/>
      <c r="N20" s="84"/>
      <c r="O20" s="85"/>
      <c r="P20" s="85"/>
      <c r="Q20" s="85"/>
      <c r="R20" s="85"/>
      <c r="S20" s="86"/>
      <c r="U20" s="90"/>
      <c r="V20" s="85"/>
      <c r="W20" s="85"/>
      <c r="X20" s="85"/>
      <c r="Y20" s="84"/>
      <c r="Z20" s="84"/>
      <c r="AA20" s="91"/>
    </row>
    <row r="21" spans="2:37" s="205" customFormat="1" x14ac:dyDescent="0.25">
      <c r="B21" s="98" t="s">
        <v>57</v>
      </c>
      <c r="C21" s="147">
        <v>5011.6743081464683</v>
      </c>
      <c r="D21" s="147">
        <v>5059.2209999999995</v>
      </c>
      <c r="E21" s="147">
        <v>3374</v>
      </c>
      <c r="F21" s="147">
        <v>2702.8</v>
      </c>
      <c r="G21" s="18">
        <v>2441.1</v>
      </c>
      <c r="H21" s="18">
        <v>2408.4</v>
      </c>
      <c r="I21" s="18">
        <v>2256.1999999999998</v>
      </c>
      <c r="J21" s="18">
        <v>2093.5</v>
      </c>
      <c r="K21" s="18">
        <v>2230.7982331078674</v>
      </c>
      <c r="L21" s="18">
        <v>2096</v>
      </c>
      <c r="M21" s="18">
        <v>2193.1</v>
      </c>
      <c r="N21" s="18">
        <v>2065.8658199373167</v>
      </c>
      <c r="O21" s="18">
        <v>2285.4395559982513</v>
      </c>
      <c r="P21" s="18">
        <v>2417.9565911970731</v>
      </c>
      <c r="Q21" s="18">
        <v>2372.0201895329219</v>
      </c>
      <c r="R21" s="18">
        <v>2408.0263487186003</v>
      </c>
      <c r="S21" s="82">
        <v>2647.3853073083515</v>
      </c>
      <c r="U21" s="81"/>
      <c r="V21" s="18">
        <v>650.69999999999993</v>
      </c>
      <c r="W21" s="18">
        <v>2209.414246786519</v>
      </c>
      <c r="X21" s="18">
        <v>2702.7849293203258</v>
      </c>
      <c r="Y21" s="18">
        <v>2093.5</v>
      </c>
      <c r="Z21" s="18">
        <v>2065.8658199373167</v>
      </c>
      <c r="AA21" s="82">
        <v>2408.0263487186003</v>
      </c>
    </row>
    <row r="22" spans="2:37" x14ac:dyDescent="0.25">
      <c r="B22" s="98" t="s">
        <v>58</v>
      </c>
      <c r="C22" s="414">
        <v>6.4042093197716574E-2</v>
      </c>
      <c r="D22" s="414">
        <v>6.1119805581063648E-2</v>
      </c>
      <c r="E22" s="414">
        <v>3.9399999999999998E-2</v>
      </c>
      <c r="F22" s="414">
        <v>2.9600000000000001E-2</v>
      </c>
      <c r="G22" s="17">
        <v>2.53E-2</v>
      </c>
      <c r="H22" s="17">
        <v>2.3699999999999999E-2</v>
      </c>
      <c r="I22" s="17">
        <v>2.12E-2</v>
      </c>
      <c r="J22" s="17">
        <v>1.8100000000000002E-2</v>
      </c>
      <c r="K22" s="17">
        <v>1.8604004936787235E-2</v>
      </c>
      <c r="L22" s="17">
        <v>1.6799999999999999E-2</v>
      </c>
      <c r="M22" s="17">
        <v>1.6799999999999999E-2</v>
      </c>
      <c r="N22" s="17">
        <v>1.4662776558588508E-2</v>
      </c>
      <c r="O22" s="17">
        <v>1.5723407990358124E-2</v>
      </c>
      <c r="P22" s="17">
        <v>1.6327431031101201E-2</v>
      </c>
      <c r="Q22" s="17">
        <v>1.538512131347127E-2</v>
      </c>
      <c r="R22" s="17">
        <v>1.4739672778260002E-2</v>
      </c>
      <c r="S22" s="80">
        <v>1.6200434609330367E-2</v>
      </c>
      <c r="T22" s="283"/>
      <c r="U22" s="83"/>
      <c r="V22" s="17">
        <v>1.0492006354165436E-2</v>
      </c>
      <c r="W22" s="17">
        <v>2.9175406047476961E-2</v>
      </c>
      <c r="X22" s="17">
        <v>2.9643150244327499E-2</v>
      </c>
      <c r="Y22" s="17">
        <v>1.8100000000000002E-2</v>
      </c>
      <c r="Z22" s="17">
        <v>1.4662776558588508E-2</v>
      </c>
      <c r="AA22" s="80">
        <v>1.4739672778260002E-2</v>
      </c>
    </row>
    <row r="23" spans="2:37" s="205" customFormat="1" x14ac:dyDescent="0.25">
      <c r="B23" s="98" t="s">
        <v>59</v>
      </c>
      <c r="C23" s="147">
        <v>257.87902344080794</v>
      </c>
      <c r="D23" s="147">
        <v>290.30799999999999</v>
      </c>
      <c r="E23" s="147">
        <v>245.5</v>
      </c>
      <c r="F23" s="147">
        <v>218</v>
      </c>
      <c r="G23" s="18">
        <v>182.10000000000002</v>
      </c>
      <c r="H23" s="18">
        <v>164.1</v>
      </c>
      <c r="I23" s="18">
        <v>156.1</v>
      </c>
      <c r="J23" s="18">
        <v>169.4</v>
      </c>
      <c r="K23" s="18">
        <v>176.11599547073257</v>
      </c>
      <c r="L23" s="18">
        <v>161.80000000000001</v>
      </c>
      <c r="M23" s="18">
        <v>161.1</v>
      </c>
      <c r="N23" s="18">
        <v>152.49850539456565</v>
      </c>
      <c r="O23" s="147">
        <v>160.23021833559932</v>
      </c>
      <c r="P23" s="147">
        <v>162.6304838074447</v>
      </c>
      <c r="Q23" s="147">
        <v>256.39684710340538</v>
      </c>
      <c r="R23" s="147">
        <v>267.46458104958782</v>
      </c>
      <c r="S23" s="148">
        <v>258.99753043031052</v>
      </c>
      <c r="U23" s="81"/>
      <c r="V23" s="19">
        <v>7.7200000000000006</v>
      </c>
      <c r="W23" s="19">
        <v>84.536138895177189</v>
      </c>
      <c r="X23" s="19">
        <v>218.00820219496524</v>
      </c>
      <c r="Y23" s="19">
        <v>169.4</v>
      </c>
      <c r="Z23" s="19">
        <v>152.49850539456565</v>
      </c>
      <c r="AA23" s="92">
        <v>267.46458104958782</v>
      </c>
    </row>
    <row r="24" spans="2:37" s="205" customFormat="1" x14ac:dyDescent="0.25">
      <c r="B24" s="98" t="s">
        <v>60</v>
      </c>
      <c r="C24" s="147">
        <v>4753.7952847056604</v>
      </c>
      <c r="D24" s="147">
        <v>4768.9130000000005</v>
      </c>
      <c r="E24" s="147">
        <v>3128.5</v>
      </c>
      <c r="F24" s="147">
        <v>2484.8000000000002</v>
      </c>
      <c r="G24" s="18">
        <v>2259</v>
      </c>
      <c r="H24" s="18">
        <v>2244.3000000000002</v>
      </c>
      <c r="I24" s="18">
        <v>2100.1</v>
      </c>
      <c r="J24" s="18">
        <v>1924.1</v>
      </c>
      <c r="K24" s="18">
        <v>2054.6822376371347</v>
      </c>
      <c r="L24" s="18">
        <v>1934.2</v>
      </c>
      <c r="M24" s="18">
        <v>2032</v>
      </c>
      <c r="N24" s="88">
        <v>1913.367314542751</v>
      </c>
      <c r="O24" s="18">
        <v>2125.2093376626522</v>
      </c>
      <c r="P24" s="18">
        <v>2255.3261073896283</v>
      </c>
      <c r="Q24" s="18">
        <v>2115.6233424295165</v>
      </c>
      <c r="R24" s="18">
        <v>2140.5617676690126</v>
      </c>
      <c r="S24" s="82">
        <v>2388.3877768780408</v>
      </c>
      <c r="U24" s="81"/>
      <c r="V24" s="18">
        <v>642.9799999999999</v>
      </c>
      <c r="W24" s="18">
        <v>2124.8781078913416</v>
      </c>
      <c r="X24" s="18">
        <v>2484.7767271253606</v>
      </c>
      <c r="Y24" s="18">
        <v>1924.1</v>
      </c>
      <c r="Z24" s="18">
        <v>1913.367314542751</v>
      </c>
      <c r="AA24" s="82">
        <v>2140.5617676690126</v>
      </c>
    </row>
    <row r="25" spans="2:37" s="269" customFormat="1" x14ac:dyDescent="0.25">
      <c r="B25" s="472" t="s">
        <v>61</v>
      </c>
      <c r="C25" s="353">
        <v>5.1455662835397348E-2</v>
      </c>
      <c r="D25" s="353">
        <v>5.7381956629291353E-2</v>
      </c>
      <c r="E25" s="353">
        <v>7.2762299940723182E-2</v>
      </c>
      <c r="F25" s="353">
        <v>8.0657096344531595E-2</v>
      </c>
      <c r="G25" s="353">
        <v>7.45975175125968E-2</v>
      </c>
      <c r="H25" s="353">
        <v>6.8136522172396519E-2</v>
      </c>
      <c r="I25" s="353">
        <v>6.9187128800638154E-2</v>
      </c>
      <c r="J25" s="353">
        <v>8.0917124432768106E-2</v>
      </c>
      <c r="K25" s="353">
        <v>7.8947523293208977E-2</v>
      </c>
      <c r="L25" s="353">
        <v>7.7194656488549618E-2</v>
      </c>
      <c r="M25" s="353">
        <v>7.3457662669280888E-2</v>
      </c>
      <c r="N25" s="353">
        <v>7.3818204417164357E-2</v>
      </c>
      <c r="O25" s="353">
        <v>7.0109147238248681E-2</v>
      </c>
      <c r="P25" s="353">
        <v>6.725947206807803E-2</v>
      </c>
      <c r="Q25" s="353">
        <v>0.10809218582321294</v>
      </c>
      <c r="R25" s="353">
        <v>0.11107211563192222</v>
      </c>
      <c r="S25" s="441">
        <v>9.7831445130153113E-2</v>
      </c>
      <c r="U25" s="473"/>
      <c r="V25" s="353">
        <v>1.1864146303980361E-2</v>
      </c>
      <c r="W25" s="353">
        <v>3.8261787719587215E-2</v>
      </c>
      <c r="X25" s="353">
        <v>8.0660580806845017E-2</v>
      </c>
      <c r="Y25" s="353">
        <v>8.0917124432768106E-2</v>
      </c>
      <c r="Z25" s="353">
        <v>7.3818204417164357E-2</v>
      </c>
      <c r="AA25" s="441">
        <v>0.11107211563192222</v>
      </c>
      <c r="AC25" s="244"/>
      <c r="AD25" s="244"/>
      <c r="AE25" s="244"/>
      <c r="AF25" s="244"/>
      <c r="AG25" s="244"/>
      <c r="AH25" s="244"/>
      <c r="AI25" s="244"/>
      <c r="AJ25" s="244"/>
      <c r="AK25" s="244"/>
    </row>
    <row r="26" spans="2:37" x14ac:dyDescent="0.25">
      <c r="B26" s="98"/>
      <c r="C26" s="185"/>
      <c r="D26" s="185"/>
      <c r="E26" s="185"/>
      <c r="F26" s="185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87"/>
      <c r="U26" s="93"/>
      <c r="V26" s="94"/>
      <c r="W26" s="94"/>
      <c r="X26" s="94"/>
      <c r="Y26" s="94"/>
      <c r="Z26" s="94"/>
      <c r="AA26" s="87"/>
    </row>
    <row r="27" spans="2:37" s="205" customFormat="1" x14ac:dyDescent="0.25">
      <c r="B27" s="98" t="s">
        <v>168</v>
      </c>
      <c r="C27" s="147">
        <v>72350.104099388816</v>
      </c>
      <c r="D27" s="147">
        <v>76921.157000000007</v>
      </c>
      <c r="E27" s="147">
        <v>80721</v>
      </c>
      <c r="F27" s="147">
        <v>87571</v>
      </c>
      <c r="G27" s="18">
        <v>93079.4</v>
      </c>
      <c r="H27" s="18">
        <v>97945.8</v>
      </c>
      <c r="I27" s="18">
        <v>102743.1</v>
      </c>
      <c r="J27" s="18">
        <v>112318.39999999999</v>
      </c>
      <c r="K27" s="18">
        <v>116485.3377739446</v>
      </c>
      <c r="L27" s="18">
        <v>121432.8</v>
      </c>
      <c r="M27" s="18">
        <v>127159.9</v>
      </c>
      <c r="N27" s="18">
        <v>137507.41377731253</v>
      </c>
      <c r="O27" s="18">
        <v>141601.12353145645</v>
      </c>
      <c r="P27" s="18">
        <v>144073.07073768301</v>
      </c>
      <c r="Q27" s="18">
        <v>150047.35804126199</v>
      </c>
      <c r="R27" s="18">
        <v>159198.99096111898</v>
      </c>
      <c r="S27" s="82">
        <v>158779.65998899101</v>
      </c>
      <c r="U27" s="81">
        <v>47149.860295404702</v>
      </c>
      <c r="V27" s="18">
        <v>61083.826000000001</v>
      </c>
      <c r="W27" s="18">
        <v>72780.105020573799</v>
      </c>
      <c r="X27" s="18">
        <v>87571.006897627522</v>
      </c>
      <c r="Y27" s="18">
        <v>112318.39999999999</v>
      </c>
      <c r="Z27" s="18">
        <v>137507.41377731253</v>
      </c>
      <c r="AA27" s="82">
        <v>159198.99096111898</v>
      </c>
    </row>
    <row r="28" spans="2:37" x14ac:dyDescent="0.25">
      <c r="B28" s="98" t="s">
        <v>62</v>
      </c>
      <c r="C28" s="414">
        <v>0.92453176816895011</v>
      </c>
      <c r="D28" s="414">
        <v>0.92927471658393124</v>
      </c>
      <c r="E28" s="414">
        <v>0.94340000000000002</v>
      </c>
      <c r="F28" s="414">
        <v>0.96040000000000003</v>
      </c>
      <c r="G28" s="17">
        <v>0.96389999999999998</v>
      </c>
      <c r="H28" s="17">
        <v>0.96530000000000005</v>
      </c>
      <c r="I28" s="17">
        <v>0.96740000000000004</v>
      </c>
      <c r="J28" s="17">
        <v>0.97260000000000002</v>
      </c>
      <c r="K28" s="17">
        <v>0.97144321115526322</v>
      </c>
      <c r="L28" s="17">
        <v>0.9728</v>
      </c>
      <c r="M28" s="17">
        <v>0.97230000000000005</v>
      </c>
      <c r="N28" s="17">
        <v>0.97597843185540767</v>
      </c>
      <c r="O28" s="17">
        <v>0.97418994579609597</v>
      </c>
      <c r="P28" s="17">
        <v>0.97286408468726682</v>
      </c>
      <c r="Q28" s="17">
        <v>0.97321971221722359</v>
      </c>
      <c r="R28" s="17">
        <v>0.97446651056984757</v>
      </c>
      <c r="S28" s="80">
        <v>0.97163774832559802</v>
      </c>
      <c r="T28" s="283"/>
      <c r="U28" s="83">
        <v>0.99529887455494082</v>
      </c>
      <c r="V28" s="17">
        <v>0.98492683345433529</v>
      </c>
      <c r="W28" s="17">
        <v>0.96106428173965963</v>
      </c>
      <c r="X28" s="17">
        <v>0.96044656988900823</v>
      </c>
      <c r="Y28" s="17">
        <v>0.97260000000000002</v>
      </c>
      <c r="Z28" s="17">
        <v>0.97597843185540767</v>
      </c>
      <c r="AA28" s="80">
        <v>0.97446651056984757</v>
      </c>
    </row>
    <row r="29" spans="2:37" s="205" customFormat="1" x14ac:dyDescent="0.25">
      <c r="B29" s="98" t="s">
        <v>63</v>
      </c>
      <c r="C29" s="147">
        <v>180.51054329146879</v>
      </c>
      <c r="D29" s="147">
        <v>203.67500000000001</v>
      </c>
      <c r="E29" s="147">
        <v>203.7</v>
      </c>
      <c r="F29" s="147">
        <v>216.8</v>
      </c>
      <c r="G29" s="18">
        <v>225</v>
      </c>
      <c r="H29" s="18">
        <v>220.39999999999998</v>
      </c>
      <c r="I29" s="18">
        <v>231.7</v>
      </c>
      <c r="J29" s="18">
        <v>259.60000000000002</v>
      </c>
      <c r="K29" s="18">
        <v>267.84996304660291</v>
      </c>
      <c r="L29" s="18">
        <v>279.60000000000002</v>
      </c>
      <c r="M29" s="18">
        <v>292.3</v>
      </c>
      <c r="N29" s="18">
        <v>315.77417391393749</v>
      </c>
      <c r="O29" s="147">
        <v>324.57195863472282</v>
      </c>
      <c r="P29" s="147">
        <v>324.1204631238989</v>
      </c>
      <c r="Q29" s="147">
        <v>225.41370159145757</v>
      </c>
      <c r="R29" s="147">
        <v>233.92328014186901</v>
      </c>
      <c r="S29" s="148">
        <v>256.43462537716272</v>
      </c>
      <c r="U29" s="81">
        <v>79.083058345460103</v>
      </c>
      <c r="V29" s="18">
        <v>128.994</v>
      </c>
      <c r="W29" s="18">
        <v>209.8753033442253</v>
      </c>
      <c r="X29" s="18">
        <v>216.80688280503475</v>
      </c>
      <c r="Y29" s="18">
        <v>259.60000000000002</v>
      </c>
      <c r="Z29" s="18">
        <v>315.77417391393749</v>
      </c>
      <c r="AA29" s="82">
        <v>233.92328014186901</v>
      </c>
    </row>
    <row r="30" spans="2:37" s="205" customFormat="1" x14ac:dyDescent="0.25">
      <c r="B30" s="149" t="s">
        <v>64</v>
      </c>
      <c r="C30" s="147">
        <v>72169.593556097345</v>
      </c>
      <c r="D30" s="147">
        <v>76717.482000000004</v>
      </c>
      <c r="E30" s="147">
        <v>80517.3</v>
      </c>
      <c r="F30" s="147">
        <v>87354.2</v>
      </c>
      <c r="G30" s="18">
        <v>92854.399999999994</v>
      </c>
      <c r="H30" s="18">
        <v>97725.400000000009</v>
      </c>
      <c r="I30" s="18">
        <v>102511.40000000001</v>
      </c>
      <c r="J30" s="18">
        <v>112058.79999999999</v>
      </c>
      <c r="K30" s="18">
        <v>116217.487810898</v>
      </c>
      <c r="L30" s="18">
        <v>121153.2</v>
      </c>
      <c r="M30" s="18">
        <v>126867.59999999999</v>
      </c>
      <c r="N30" s="18">
        <v>137191.63960339859</v>
      </c>
      <c r="O30" s="18">
        <v>141276.55157282174</v>
      </c>
      <c r="P30" s="18">
        <v>143748.95027455912</v>
      </c>
      <c r="Q30" s="18">
        <v>149821.94433967053</v>
      </c>
      <c r="R30" s="18">
        <v>158965.06768097711</v>
      </c>
      <c r="S30" s="82">
        <v>158523.22536361386</v>
      </c>
      <c r="U30" s="81">
        <v>47070.777237059243</v>
      </c>
      <c r="V30" s="18">
        <v>60954.832000000002</v>
      </c>
      <c r="W30" s="18">
        <v>72570.22971722958</v>
      </c>
      <c r="X30" s="18">
        <v>87354.200014822491</v>
      </c>
      <c r="Y30" s="18">
        <v>112058.79999999999</v>
      </c>
      <c r="Z30" s="18">
        <v>137191.63960339859</v>
      </c>
      <c r="AA30" s="82">
        <v>158965.06768097711</v>
      </c>
    </row>
    <row r="31" spans="2:37" s="269" customFormat="1" x14ac:dyDescent="0.25">
      <c r="B31" s="472" t="s">
        <v>156</v>
      </c>
      <c r="C31" s="353">
        <v>2.4949589988633295E-3</v>
      </c>
      <c r="D31" s="353">
        <v>2.647841087465702E-3</v>
      </c>
      <c r="E31" s="353">
        <v>2.5235068941167724E-3</v>
      </c>
      <c r="F31" s="353">
        <v>2.4757054275958939E-3</v>
      </c>
      <c r="G31" s="353">
        <v>2.417291043990355E-3</v>
      </c>
      <c r="H31" s="353">
        <v>2.2502241035347037E-3</v>
      </c>
      <c r="I31" s="353">
        <v>2.2551392745595589E-3</v>
      </c>
      <c r="J31" s="353">
        <v>2.3112864855625581E-3</v>
      </c>
      <c r="K31" s="353">
        <v>2.2994307108967771E-3</v>
      </c>
      <c r="L31" s="353">
        <v>2.3025080538372489E-3</v>
      </c>
      <c r="M31" s="353">
        <v>2.2986806375280278E-3</v>
      </c>
      <c r="N31" s="353">
        <v>2.2964156276352732E-3</v>
      </c>
      <c r="O31" s="353">
        <v>2.2921566618968603E-3</v>
      </c>
      <c r="P31" s="353">
        <v>2.2496949739763128E-3</v>
      </c>
      <c r="Q31" s="353">
        <v>1.5022837091838055E-3</v>
      </c>
      <c r="R31" s="353">
        <v>1.4693766507540233E-3</v>
      </c>
      <c r="S31" s="441">
        <v>1.615034478565722E-3</v>
      </c>
      <c r="U31" s="473">
        <v>1.677270258066188E-3</v>
      </c>
      <c r="V31" s="353">
        <v>2.1117537725944269E-3</v>
      </c>
      <c r="W31" s="353">
        <v>2.8836905811676639E-3</v>
      </c>
      <c r="X31" s="353">
        <v>2.4757838294412471E-3</v>
      </c>
      <c r="Y31" s="353">
        <v>2.3112864855625581E-3</v>
      </c>
      <c r="Z31" s="353">
        <v>2.2964156276352732E-3</v>
      </c>
      <c r="AA31" s="441">
        <v>1.4693766507540233E-3</v>
      </c>
    </row>
    <row r="32" spans="2:37" x14ac:dyDescent="0.25">
      <c r="B32" s="98"/>
      <c r="C32" s="185"/>
      <c r="D32" s="185"/>
      <c r="E32" s="185"/>
      <c r="F32" s="185"/>
      <c r="S32" s="380"/>
      <c r="U32" s="93"/>
      <c r="V32" s="94"/>
      <c r="W32" s="94"/>
      <c r="X32" s="94"/>
      <c r="Y32" s="94"/>
      <c r="Z32" s="94"/>
      <c r="AA32" s="87"/>
    </row>
    <row r="33" spans="2:28" s="205" customFormat="1" x14ac:dyDescent="0.25">
      <c r="B33" s="98" t="s">
        <v>65</v>
      </c>
      <c r="C33" s="147">
        <v>78255.97840753528</v>
      </c>
      <c r="D33" s="147">
        <v>82775.478000000017</v>
      </c>
      <c r="E33" s="147">
        <v>85568.2</v>
      </c>
      <c r="F33" s="147">
        <v>91177.400000000009</v>
      </c>
      <c r="G33" s="18">
        <v>96565.1</v>
      </c>
      <c r="H33" s="18">
        <v>101467</v>
      </c>
      <c r="I33" s="18">
        <v>106203.3</v>
      </c>
      <c r="J33" s="18">
        <v>115478.79999999999</v>
      </c>
      <c r="K33" s="18">
        <v>119909.57004621762</v>
      </c>
      <c r="L33" s="18">
        <v>124823.5</v>
      </c>
      <c r="M33" s="18">
        <v>130778</v>
      </c>
      <c r="N33" s="18">
        <v>140891.85712424063</v>
      </c>
      <c r="O33" s="147">
        <v>145352.68418905901</v>
      </c>
      <c r="P33" s="147">
        <v>148091.67385801501</v>
      </c>
      <c r="Q33" s="147">
        <v>154176.24217600236</v>
      </c>
      <c r="R33" s="147">
        <v>163370.40753511657</v>
      </c>
      <c r="S33" s="148">
        <v>163414.46209002534</v>
      </c>
      <c r="U33" s="149">
        <v>47372.564664546917</v>
      </c>
      <c r="V33" s="147">
        <v>62018.643339999995</v>
      </c>
      <c r="W33" s="147">
        <v>75728.654579516486</v>
      </c>
      <c r="X33" s="147">
        <v>91177.39182694786</v>
      </c>
      <c r="Y33" s="18">
        <v>115478.79999999999</v>
      </c>
      <c r="Z33" s="18">
        <v>140891.85712424063</v>
      </c>
      <c r="AA33" s="82">
        <v>163370.40753511657</v>
      </c>
    </row>
    <row r="34" spans="2:28" x14ac:dyDescent="0.25">
      <c r="B34" s="98" t="s">
        <v>66</v>
      </c>
      <c r="C34" s="147">
        <v>662.18956673227683</v>
      </c>
      <c r="D34" s="147">
        <v>700.58300000000008</v>
      </c>
      <c r="E34" s="147">
        <v>793.5</v>
      </c>
      <c r="F34" s="147">
        <v>643.10000000000014</v>
      </c>
      <c r="G34" s="88">
        <v>646.79999999999995</v>
      </c>
      <c r="H34" s="88">
        <v>649.20000000000005</v>
      </c>
      <c r="I34" s="88">
        <v>675.3</v>
      </c>
      <c r="J34" s="88">
        <v>716.1</v>
      </c>
      <c r="K34" s="88">
        <v>765.56378915659093</v>
      </c>
      <c r="L34" s="88">
        <v>797.40000000000009</v>
      </c>
      <c r="M34" s="88">
        <v>845.5</v>
      </c>
      <c r="N34" s="88">
        <v>848.18869274076735</v>
      </c>
      <c r="O34" s="88">
        <v>907.50493298347124</v>
      </c>
      <c r="P34" s="88">
        <v>946.11662282928501</v>
      </c>
      <c r="Q34" s="88">
        <v>1005.4145230597559</v>
      </c>
      <c r="R34" s="88">
        <v>1073.3144717301079</v>
      </c>
      <c r="S34" s="89">
        <v>1141.9519148832405</v>
      </c>
      <c r="T34" s="285"/>
      <c r="U34" s="95">
        <v>127.66460722720061</v>
      </c>
      <c r="V34" s="16">
        <v>210.63907699999999</v>
      </c>
      <c r="W34" s="16">
        <v>495.79160723940248</v>
      </c>
      <c r="X34" s="16">
        <v>643.15173330396601</v>
      </c>
      <c r="Y34" s="16">
        <v>716.1</v>
      </c>
      <c r="Z34" s="16">
        <v>848.18869274076735</v>
      </c>
      <c r="AA34" s="96">
        <v>1073.3144717301079</v>
      </c>
      <c r="AB34" s="171"/>
    </row>
    <row r="35" spans="2:28" s="269" customFormat="1" x14ac:dyDescent="0.25">
      <c r="B35" s="472" t="s">
        <v>67</v>
      </c>
      <c r="C35" s="353">
        <v>8.461839979608695E-3</v>
      </c>
      <c r="D35" s="353">
        <v>8.4636539338377482E-3</v>
      </c>
      <c r="E35" s="353">
        <v>9.2733048024850363E-3</v>
      </c>
      <c r="F35" s="353">
        <v>7.0532829407287338E-3</v>
      </c>
      <c r="G35" s="353">
        <v>6.6980720778003636E-3</v>
      </c>
      <c r="H35" s="353">
        <v>6.3981392965200513E-3</v>
      </c>
      <c r="I35" s="353">
        <v>6.3585594797901752E-3</v>
      </c>
      <c r="J35" s="353">
        <v>6.2011382175775993E-3</v>
      </c>
      <c r="K35" s="353">
        <v>6.3845095004636757E-3</v>
      </c>
      <c r="L35" s="353">
        <v>6.3882201668756288E-3</v>
      </c>
      <c r="M35" s="353">
        <v>6.4651546896266959E-3</v>
      </c>
      <c r="N35" s="353">
        <v>6.0201399147774837E-3</v>
      </c>
      <c r="O35" s="353">
        <v>6.2434686916623241E-3</v>
      </c>
      <c r="P35" s="353">
        <v>6.3887225944679899E-3</v>
      </c>
      <c r="Q35" s="353">
        <v>6.5212026760388207E-3</v>
      </c>
      <c r="R35" s="353">
        <v>6.569821841813049E-3</v>
      </c>
      <c r="S35" s="441">
        <v>6.9880713143622326E-3</v>
      </c>
      <c r="U35" s="473">
        <v>2.6949059678574535E-3</v>
      </c>
      <c r="V35" s="353">
        <v>3.3963831786069511E-3</v>
      </c>
      <c r="W35" s="353">
        <v>6.5469485757047507E-3</v>
      </c>
      <c r="X35" s="353">
        <v>7.0538509647726051E-3</v>
      </c>
      <c r="Y35" s="353">
        <v>6.2011382175775993E-3</v>
      </c>
      <c r="Z35" s="353">
        <v>6.0201399147774837E-3</v>
      </c>
      <c r="AA35" s="441">
        <v>6.569821841813049E-3</v>
      </c>
    </row>
    <row r="36" spans="2:28" x14ac:dyDescent="0.25">
      <c r="O36" s="284"/>
      <c r="P36" s="284"/>
      <c r="Q36" s="284"/>
      <c r="R36" s="284"/>
      <c r="S36" s="284"/>
      <c r="U36" s="284"/>
      <c r="V36" s="284"/>
      <c r="W36" s="284"/>
      <c r="X36" s="284"/>
    </row>
    <row r="37" spans="2:28" ht="30" x14ac:dyDescent="0.25">
      <c r="B37" s="416" t="s">
        <v>235</v>
      </c>
      <c r="C37" s="349"/>
      <c r="D37" s="349"/>
      <c r="E37" s="349"/>
      <c r="F37" s="349"/>
    </row>
    <row r="38" spans="2:28" x14ac:dyDescent="0.25">
      <c r="B38" s="349"/>
      <c r="C38" s="143"/>
      <c r="D38" s="143"/>
      <c r="E38" s="143"/>
      <c r="F38" s="143"/>
    </row>
    <row r="39" spans="2:28" x14ac:dyDescent="0.25">
      <c r="B39" s="143"/>
      <c r="C39" s="143"/>
      <c r="D39" s="143"/>
      <c r="E39" s="143"/>
      <c r="F39" s="143"/>
    </row>
    <row r="40" spans="2:28" s="269" customFormat="1" x14ac:dyDescent="0.25"/>
    <row r="41" spans="2:28" s="269" customFormat="1" x14ac:dyDescent="0.25"/>
  </sheetData>
  <hyperlinks>
    <hyperlink ref="A1" location="Index!A1" display="Index" xr:uid="{00000000-0004-0000-04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C36"/>
  <sheetViews>
    <sheetView showGridLines="0" zoomScale="80" zoomScaleNormal="8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AA3" sqref="AA3"/>
    </sheetView>
  </sheetViews>
  <sheetFormatPr defaultColWidth="9.140625" defaultRowHeight="15" x14ac:dyDescent="0.25"/>
  <cols>
    <col min="1" max="1" width="5.85546875" style="143" bestFit="1" customWidth="1"/>
    <col min="2" max="2" width="51.28515625" style="20" bestFit="1" customWidth="1"/>
    <col min="3" max="6" width="10.28515625" style="20" customWidth="1"/>
    <col min="7" max="16" width="10.28515625" style="227" bestFit="1" customWidth="1"/>
    <col min="17" max="19" width="10.140625" style="227" customWidth="1"/>
    <col min="20" max="20" width="8.42578125" style="227" bestFit="1" customWidth="1"/>
    <col min="21" max="23" width="9" style="227" bestFit="1" customWidth="1"/>
    <col min="24" max="27" width="10.28515625" style="227" bestFit="1" customWidth="1"/>
    <col min="28" max="16384" width="9.140625" style="143"/>
  </cols>
  <sheetData>
    <row r="1" spans="1:29" x14ac:dyDescent="0.25">
      <c r="A1" s="142" t="s">
        <v>0</v>
      </c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</row>
    <row r="2" spans="1:29" s="269" customFormat="1" x14ac:dyDescent="0.25">
      <c r="B2" s="350"/>
      <c r="C2" s="350"/>
      <c r="D2" s="350"/>
      <c r="E2" s="350"/>
      <c r="F2" s="350"/>
      <c r="G2" s="352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</row>
    <row r="3" spans="1:29" s="130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07" t="s">
        <v>108</v>
      </c>
      <c r="H3" s="107" t="s">
        <v>107</v>
      </c>
      <c r="I3" s="107" t="s">
        <v>106</v>
      </c>
      <c r="J3" s="107" t="s">
        <v>105</v>
      </c>
      <c r="K3" s="107" t="s">
        <v>1</v>
      </c>
      <c r="L3" s="107" t="s">
        <v>2</v>
      </c>
      <c r="M3" s="107" t="s">
        <v>3</v>
      </c>
      <c r="N3" s="107" t="s">
        <v>96</v>
      </c>
      <c r="O3" s="107" t="s">
        <v>97</v>
      </c>
      <c r="P3" s="107" t="s">
        <v>131</v>
      </c>
      <c r="Q3" s="107" t="s">
        <v>174</v>
      </c>
      <c r="R3" s="107" t="s">
        <v>238</v>
      </c>
      <c r="S3" s="131" t="s">
        <v>252</v>
      </c>
      <c r="T3" s="227"/>
      <c r="U3" s="132" t="s">
        <v>6</v>
      </c>
      <c r="V3" s="107" t="s">
        <v>7</v>
      </c>
      <c r="W3" s="107" t="s">
        <v>8</v>
      </c>
      <c r="X3" s="107" t="s">
        <v>9</v>
      </c>
      <c r="Y3" s="107" t="s">
        <v>10</v>
      </c>
      <c r="Z3" s="107" t="s">
        <v>98</v>
      </c>
      <c r="AA3" s="107" t="s">
        <v>239</v>
      </c>
    </row>
    <row r="4" spans="1:29" x14ac:dyDescent="0.25">
      <c r="B4" s="191" t="s">
        <v>117</v>
      </c>
      <c r="C4" s="404"/>
      <c r="D4" s="404"/>
      <c r="E4" s="404"/>
      <c r="F4" s="404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9"/>
      <c r="U4" s="230"/>
      <c r="V4" s="228"/>
      <c r="W4" s="228"/>
      <c r="X4" s="228"/>
      <c r="Y4" s="228"/>
      <c r="Z4" s="228"/>
      <c r="AA4" s="229"/>
    </row>
    <row r="5" spans="1:29" x14ac:dyDescent="0.25">
      <c r="B5" s="98" t="s">
        <v>68</v>
      </c>
      <c r="C5" s="414">
        <v>0.12989999999999999</v>
      </c>
      <c r="D5" s="414">
        <v>0.129</v>
      </c>
      <c r="E5" s="414">
        <v>0.12790000000000001</v>
      </c>
      <c r="F5" s="414">
        <v>0.1265</v>
      </c>
      <c r="G5" s="286">
        <v>0.12670000000000001</v>
      </c>
      <c r="H5" s="286">
        <v>0.1285</v>
      </c>
      <c r="I5" s="286">
        <v>0.13039999999999999</v>
      </c>
      <c r="J5" s="286">
        <v>0.13120000000000001</v>
      </c>
      <c r="K5" s="286">
        <v>0.1326</v>
      </c>
      <c r="L5" s="286">
        <v>0.13150000000000001</v>
      </c>
      <c r="M5" s="286">
        <v>0.13070000000000001</v>
      </c>
      <c r="N5" s="286">
        <v>0.1313</v>
      </c>
      <c r="O5" s="286">
        <v>0.1308</v>
      </c>
      <c r="P5" s="286">
        <v>0.13044769587197316</v>
      </c>
      <c r="Q5" s="286">
        <v>0.1318</v>
      </c>
      <c r="R5" s="286">
        <v>0.1313</v>
      </c>
      <c r="S5" s="287">
        <v>0.1313</v>
      </c>
      <c r="T5" s="233"/>
      <c r="U5" s="234">
        <v>0.13750000000000001</v>
      </c>
      <c r="V5" s="231">
        <v>0.1363</v>
      </c>
      <c r="W5" s="231">
        <v>0.13159999999999999</v>
      </c>
      <c r="X5" s="231">
        <v>0.1265</v>
      </c>
      <c r="Y5" s="231">
        <v>0.13120000000000001</v>
      </c>
      <c r="Z5" s="231">
        <v>0.1313</v>
      </c>
      <c r="AA5" s="287">
        <v>0.1313</v>
      </c>
    </row>
    <row r="6" spans="1:29" x14ac:dyDescent="0.25">
      <c r="B6" s="98" t="s">
        <v>69</v>
      </c>
      <c r="C6" s="414">
        <v>7.2499999999999995E-2</v>
      </c>
      <c r="D6" s="414">
        <v>7.17E-2</v>
      </c>
      <c r="E6" s="414">
        <v>7.0300000000000001E-2</v>
      </c>
      <c r="F6" s="414">
        <v>6.88E-2</v>
      </c>
      <c r="G6" s="286">
        <v>6.8599999999999994E-2</v>
      </c>
      <c r="H6" s="286">
        <v>6.9900000000000004E-2</v>
      </c>
      <c r="I6" s="286">
        <v>7.2900000000000006E-2</v>
      </c>
      <c r="J6" s="286">
        <v>7.6100000000000001E-2</v>
      </c>
      <c r="K6" s="286">
        <v>7.6600000000000001E-2</v>
      </c>
      <c r="L6" s="286">
        <v>7.8600000000000003E-2</v>
      </c>
      <c r="M6" s="286">
        <v>7.9500000000000001E-2</v>
      </c>
      <c r="N6" s="286">
        <v>8.0699999999999994E-2</v>
      </c>
      <c r="O6" s="286">
        <v>8.0799999999999997E-2</v>
      </c>
      <c r="P6" s="286">
        <v>8.1500000000000003E-2</v>
      </c>
      <c r="Q6" s="286">
        <v>8.2400000000000001E-2</v>
      </c>
      <c r="R6" s="286">
        <v>8.2400000000000001E-2</v>
      </c>
      <c r="S6" s="287">
        <v>8.0199999999999994E-2</v>
      </c>
      <c r="T6" s="233"/>
      <c r="U6" s="234">
        <v>8.7400000000000005E-2</v>
      </c>
      <c r="V6" s="231">
        <v>8.4400000000000003E-2</v>
      </c>
      <c r="W6" s="231">
        <v>7.3999999999999996E-2</v>
      </c>
      <c r="X6" s="231">
        <v>6.88E-2</v>
      </c>
      <c r="Y6" s="231">
        <v>7.6100000000000001E-2</v>
      </c>
      <c r="Z6" s="231">
        <v>8.0699999999999994E-2</v>
      </c>
      <c r="AA6" s="287">
        <v>8.2400000000000001E-2</v>
      </c>
    </row>
    <row r="7" spans="1:29" s="208" customFormat="1" x14ac:dyDescent="0.25">
      <c r="B7" s="191" t="s">
        <v>70</v>
      </c>
      <c r="C7" s="353">
        <v>5.7399999999999993E-2</v>
      </c>
      <c r="D7" s="353">
        <v>5.7300000000000004E-2</v>
      </c>
      <c r="E7" s="353">
        <v>5.7600000000000012E-2</v>
      </c>
      <c r="F7" s="353">
        <v>5.7700000000000001E-2</v>
      </c>
      <c r="G7" s="288">
        <v>5.8100000000000013E-2</v>
      </c>
      <c r="H7" s="288">
        <v>5.8599999999999999E-2</v>
      </c>
      <c r="I7" s="288">
        <v>5.7499999999999982E-2</v>
      </c>
      <c r="J7" s="288">
        <v>5.510000000000001E-2</v>
      </c>
      <c r="K7" s="288">
        <v>5.5999999999999994E-2</v>
      </c>
      <c r="L7" s="288">
        <v>5.2900000000000003E-2</v>
      </c>
      <c r="M7" s="288">
        <v>5.1200000000000009E-2</v>
      </c>
      <c r="N7" s="288">
        <v>5.0600000000000006E-2</v>
      </c>
      <c r="O7" s="288">
        <v>0.05</v>
      </c>
      <c r="P7" s="288">
        <v>4.894769587197316E-2</v>
      </c>
      <c r="Q7" s="288">
        <v>4.9399999999999999E-2</v>
      </c>
      <c r="R7" s="288">
        <v>4.8899999999999999E-2</v>
      </c>
      <c r="S7" s="289">
        <f>+S5-S6</f>
        <v>5.1100000000000007E-2</v>
      </c>
      <c r="T7" s="233"/>
      <c r="U7" s="385">
        <v>5.0100000000000006E-2</v>
      </c>
      <c r="V7" s="235">
        <v>5.1900000000000002E-2</v>
      </c>
      <c r="W7" s="235">
        <v>5.7599999999999998E-2</v>
      </c>
      <c r="X7" s="235">
        <v>5.7700000000000001E-2</v>
      </c>
      <c r="Y7" s="235">
        <v>5.510000000000001E-2</v>
      </c>
      <c r="Z7" s="235">
        <v>5.0600000000000006E-2</v>
      </c>
      <c r="AA7" s="289">
        <v>4.8899999999999999E-2</v>
      </c>
    </row>
    <row r="8" spans="1:29" x14ac:dyDescent="0.25"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1"/>
      <c r="R8" s="231"/>
      <c r="S8" s="231"/>
      <c r="T8" s="233"/>
      <c r="U8" s="236"/>
      <c r="V8" s="236"/>
      <c r="W8" s="236"/>
      <c r="X8" s="236"/>
      <c r="Y8" s="236"/>
      <c r="Z8" s="236"/>
      <c r="AA8" s="236"/>
    </row>
    <row r="9" spans="1:29" x14ac:dyDescent="0.25">
      <c r="B9" s="191" t="s">
        <v>71</v>
      </c>
      <c r="C9" s="404"/>
      <c r="D9" s="404"/>
      <c r="E9" s="404"/>
      <c r="F9" s="404"/>
      <c r="G9" s="429"/>
      <c r="H9" s="228"/>
      <c r="I9" s="228"/>
      <c r="J9" s="228"/>
      <c r="K9" s="228"/>
      <c r="L9" s="228"/>
      <c r="M9" s="228"/>
      <c r="N9" s="228"/>
      <c r="O9" s="228"/>
      <c r="P9" s="228"/>
      <c r="Q9" s="442"/>
      <c r="R9" s="442"/>
      <c r="S9" s="515"/>
      <c r="U9" s="230"/>
      <c r="V9" s="228"/>
      <c r="W9" s="228"/>
      <c r="X9" s="228"/>
      <c r="Y9" s="228"/>
      <c r="Z9" s="228"/>
      <c r="AA9" s="229"/>
    </row>
    <row r="10" spans="1:29" x14ac:dyDescent="0.25">
      <c r="B10" s="98" t="s">
        <v>123</v>
      </c>
      <c r="C10" s="414">
        <v>0.12391724813048748</v>
      </c>
      <c r="D10" s="414">
        <v>0.12553304538055504</v>
      </c>
      <c r="E10" s="414">
        <v>0.12207677783613809</v>
      </c>
      <c r="F10" s="414">
        <v>0.12357142318523344</v>
      </c>
      <c r="G10" s="286">
        <v>0.12065137443262741</v>
      </c>
      <c r="H10" s="286">
        <v>0.12161923298513456</v>
      </c>
      <c r="I10" s="286">
        <v>0.1266658850490619</v>
      </c>
      <c r="J10" s="286">
        <v>0.12832909023274996</v>
      </c>
      <c r="K10" s="286">
        <v>0.12735546066832931</v>
      </c>
      <c r="L10" s="286">
        <v>0.12482913849746372</v>
      </c>
      <c r="M10" s="286">
        <v>0.12395972340579517</v>
      </c>
      <c r="N10" s="286">
        <v>0.12439722108692609</v>
      </c>
      <c r="O10" s="286">
        <v>0.12324184820173426</v>
      </c>
      <c r="P10" s="286">
        <v>0.12538751103971443</v>
      </c>
      <c r="Q10" s="286">
        <v>0.12746856682886976</v>
      </c>
      <c r="R10" s="286">
        <v>0.12660114592517285</v>
      </c>
      <c r="S10" s="287">
        <f>(+'P&amp;L'!S6/'Yields, Margins &amp; Ratios'!$S$27)*4</f>
        <v>0.12501603383159859</v>
      </c>
      <c r="T10" s="239"/>
      <c r="U10" s="458">
        <v>0.13057863910996917</v>
      </c>
      <c r="V10" s="286">
        <v>0.12801065939980655</v>
      </c>
      <c r="W10" s="286">
        <v>0.12565369408621241</v>
      </c>
      <c r="X10" s="286">
        <v>0.12102942729460779</v>
      </c>
      <c r="Y10" s="286">
        <v>0.12272813415464263</v>
      </c>
      <c r="Z10" s="286">
        <v>0.12506149935933142</v>
      </c>
      <c r="AA10" s="287">
        <v>0.12400992022317554</v>
      </c>
    </row>
    <row r="11" spans="1:29" x14ac:dyDescent="0.25">
      <c r="B11" s="98" t="s">
        <v>124</v>
      </c>
      <c r="C11" s="414">
        <v>5.0608435584428332E-2</v>
      </c>
      <c r="D11" s="414">
        <v>4.9685058250755532E-2</v>
      </c>
      <c r="E11" s="414">
        <v>5.0900459416363307E-2</v>
      </c>
      <c r="F11" s="414">
        <v>4.6903108019242794E-2</v>
      </c>
      <c r="G11" s="286">
        <v>4.8665514841296519E-2</v>
      </c>
      <c r="H11" s="286">
        <v>4.9018485568126539E-2</v>
      </c>
      <c r="I11" s="286">
        <v>4.9548631937721542E-2</v>
      </c>
      <c r="J11" s="286">
        <v>5.1235577932704231E-2</v>
      </c>
      <c r="K11" s="286">
        <v>5.4311704939895671E-2</v>
      </c>
      <c r="L11" s="286">
        <v>5.6174025231827455E-2</v>
      </c>
      <c r="M11" s="286">
        <v>5.7277622280014491E-2</v>
      </c>
      <c r="N11" s="286">
        <v>5.5752418379368639E-2</v>
      </c>
      <c r="O11" s="286">
        <v>5.6385459874105606E-2</v>
      </c>
      <c r="P11" s="286">
        <v>5.9279689979953032E-2</v>
      </c>
      <c r="Q11" s="286">
        <v>6.0098617840535849E-2</v>
      </c>
      <c r="R11" s="286">
        <v>5.857731765779841E-2</v>
      </c>
      <c r="S11" s="287">
        <f>(+'P&amp;L'!S7/'Yields, Margins &amp; Ratios'!$S$27)*4</f>
        <v>5.7765135026053321E-2</v>
      </c>
      <c r="T11" s="239"/>
      <c r="U11" s="458">
        <v>5.3851443769017182E-2</v>
      </c>
      <c r="V11" s="286">
        <v>5.4343405926538565E-2</v>
      </c>
      <c r="W11" s="286">
        <v>5.5894208315301945E-2</v>
      </c>
      <c r="X11" s="286">
        <v>4.8368895447094863E-2</v>
      </c>
      <c r="Y11" s="286">
        <v>4.8967962989779859E-2</v>
      </c>
      <c r="Z11" s="286">
        <v>5.5901898374055334E-2</v>
      </c>
      <c r="AA11" s="287">
        <v>5.7817458408326271E-2</v>
      </c>
    </row>
    <row r="12" spans="1:29" x14ac:dyDescent="0.25">
      <c r="B12" s="98" t="s">
        <v>169</v>
      </c>
      <c r="C12" s="414">
        <v>-3.9818260288175299E-3</v>
      </c>
      <c r="D12" s="414">
        <v>1.1982250242038781E-2</v>
      </c>
      <c r="E12" s="414">
        <v>1.5682485425401411E-2</v>
      </c>
      <c r="F12" s="414">
        <v>1.4387643340492647E-2</v>
      </c>
      <c r="G12" s="286">
        <v>4.7033330076997554E-3</v>
      </c>
      <c r="H12" s="286">
        <v>1.3521585408454584E-2</v>
      </c>
      <c r="I12" s="286">
        <v>8.0858698443175663E-3</v>
      </c>
      <c r="J12" s="286">
        <v>1.0303294375220359E-2</v>
      </c>
      <c r="K12" s="286">
        <v>6.9444444939177749E-3</v>
      </c>
      <c r="L12" s="286">
        <v>1.0360417973054804E-2</v>
      </c>
      <c r="M12" s="286">
        <v>9.6556709335747157E-3</v>
      </c>
      <c r="N12" s="286">
        <v>1.243539743235399E-2</v>
      </c>
      <c r="O12" s="286">
        <v>6.3651437421533581E-3</v>
      </c>
      <c r="P12" s="286">
        <v>1.167676468977873E-2</v>
      </c>
      <c r="Q12" s="286">
        <v>1.0081857384995303E-2</v>
      </c>
      <c r="R12" s="286">
        <v>1.3089650811499829E-2</v>
      </c>
      <c r="S12" s="287">
        <f>(+'P&amp;L'!S9/'Yields, Margins &amp; Ratios'!$S$27)*4</f>
        <v>7.5605098950489447E-3</v>
      </c>
      <c r="T12" s="239"/>
      <c r="U12" s="458">
        <v>1.6515122726718054E-2</v>
      </c>
      <c r="V12" s="286">
        <v>7.9569107312905327E-3</v>
      </c>
      <c r="W12" s="286">
        <v>7.3815527378423441E-3</v>
      </c>
      <c r="X12" s="286">
        <v>9.6554478557268307E-3</v>
      </c>
      <c r="Y12" s="286">
        <v>9.0827562297106437E-3</v>
      </c>
      <c r="Z12" s="286">
        <v>9.9397609082392223E-3</v>
      </c>
      <c r="AA12" s="287">
        <v>1.0227653965578879E-2</v>
      </c>
    </row>
    <row r="13" spans="1:29" s="208" customFormat="1" x14ac:dyDescent="0.25">
      <c r="B13" s="356" t="s">
        <v>170</v>
      </c>
      <c r="C13" s="353">
        <v>6.9326986517241618E-2</v>
      </c>
      <c r="D13" s="353">
        <v>8.7830237371838288E-2</v>
      </c>
      <c r="E13" s="353">
        <v>8.6858803845176191E-2</v>
      </c>
      <c r="F13" s="353">
        <v>9.1055958506483292E-2</v>
      </c>
      <c r="G13" s="459">
        <v>7.6689192599030648E-2</v>
      </c>
      <c r="H13" s="459">
        <v>8.6122332825462611E-2</v>
      </c>
      <c r="I13" s="459">
        <v>8.520312295565792E-2</v>
      </c>
      <c r="J13" s="459">
        <v>8.73968066752661E-2</v>
      </c>
      <c r="K13" s="459">
        <v>7.998820022235141E-2</v>
      </c>
      <c r="L13" s="459">
        <v>7.9015531238691053E-2</v>
      </c>
      <c r="M13" s="459">
        <v>7.6337772059355408E-2</v>
      </c>
      <c r="N13" s="459">
        <v>8.1080200139911449E-2</v>
      </c>
      <c r="O13" s="459">
        <v>7.313403013384967E-2</v>
      </c>
      <c r="P13" s="459">
        <v>7.7784585749540128E-2</v>
      </c>
      <c r="Q13" s="459">
        <v>7.7451806373329199E-2</v>
      </c>
      <c r="R13" s="459">
        <v>8.1113479078874284E-2</v>
      </c>
      <c r="S13" s="460">
        <f>(+'P&amp;L'!S13/'Yields, Margins &amp; Ratios'!$S$27)*4</f>
        <v>7.4811408700594217E-2</v>
      </c>
      <c r="T13" s="355"/>
      <c r="U13" s="461">
        <v>9.3242318067670041E-2</v>
      </c>
      <c r="V13" s="459">
        <v>8.1624164204558508E-2</v>
      </c>
      <c r="W13" s="459">
        <v>7.7141038508752799E-2</v>
      </c>
      <c r="X13" s="459">
        <v>8.2315979703239756E-2</v>
      </c>
      <c r="Y13" s="459">
        <v>8.2842927394573412E-2</v>
      </c>
      <c r="Z13" s="459">
        <v>7.909936189351531E-2</v>
      </c>
      <c r="AA13" s="460">
        <v>7.6420115780428149E-2</v>
      </c>
    </row>
    <row r="14" spans="1:29" x14ac:dyDescent="0.25">
      <c r="B14" s="98" t="s">
        <v>72</v>
      </c>
      <c r="C14" s="414">
        <v>2.8790887419887334E-2</v>
      </c>
      <c r="D14" s="414">
        <v>3.5828385335325848E-2</v>
      </c>
      <c r="E14" s="414">
        <v>3.5908852969176321E-2</v>
      </c>
      <c r="F14" s="414">
        <v>3.9817807986276349E-2</v>
      </c>
      <c r="G14" s="286">
        <v>3.5630522170704865E-2</v>
      </c>
      <c r="H14" s="286">
        <v>3.8437707583107293E-2</v>
      </c>
      <c r="I14" s="286">
        <v>3.892586222150346E-2</v>
      </c>
      <c r="J14" s="286">
        <v>3.6608190866435873E-2</v>
      </c>
      <c r="K14" s="286">
        <v>3.7886694762126485E-2</v>
      </c>
      <c r="L14" s="286">
        <v>3.4701826616817949E-2</v>
      </c>
      <c r="M14" s="286">
        <v>3.4955598579221182E-2</v>
      </c>
      <c r="N14" s="286">
        <v>3.5583751107364926E-2</v>
      </c>
      <c r="O14" s="286">
        <v>3.266326874222944E-2</v>
      </c>
      <c r="P14" s="286">
        <v>3.177903313829223E-2</v>
      </c>
      <c r="Q14" s="286">
        <v>3.2714294506944894E-2</v>
      </c>
      <c r="R14" s="286">
        <v>3.7098803174460779E-2</v>
      </c>
      <c r="S14" s="287">
        <f>(+'P&amp;L'!S16/'Yields, Margins &amp; Ratios'!$S$27)*4</f>
        <v>3.4614496720954416E-2</v>
      </c>
      <c r="T14" s="239"/>
      <c r="U14" s="462">
        <v>3.8087267389458938E-2</v>
      </c>
      <c r="V14" s="286">
        <v>3.3833621538776767E-2</v>
      </c>
      <c r="W14" s="286">
        <v>3.0140627281872986E-2</v>
      </c>
      <c r="X14" s="286">
        <v>3.4521773850903749E-2</v>
      </c>
      <c r="Y14" s="286">
        <v>3.6884522891153015E-2</v>
      </c>
      <c r="Z14" s="286">
        <v>3.5780192601668419E-2</v>
      </c>
      <c r="AA14" s="287">
        <v>3.3178326125141017E-2</v>
      </c>
      <c r="AB14" s="208"/>
      <c r="AC14" s="208"/>
    </row>
    <row r="15" spans="1:29" s="208" customFormat="1" x14ac:dyDescent="0.25">
      <c r="B15" s="241" t="s">
        <v>165</v>
      </c>
      <c r="C15" s="414">
        <v>7.4989685923924415E-3</v>
      </c>
      <c r="D15" s="414">
        <v>2.0055520518415548E-3</v>
      </c>
      <c r="E15" s="414">
        <v>4.5345442176581091E-3</v>
      </c>
      <c r="F15" s="414">
        <v>-3.9408472141191295E-3</v>
      </c>
      <c r="G15" s="463">
        <v>3.2542159674406318E-4</v>
      </c>
      <c r="H15" s="463">
        <v>5.5165323225250286E-4</v>
      </c>
      <c r="I15" s="463">
        <v>1.1485965815828236E-3</v>
      </c>
      <c r="J15" s="463">
        <v>1.9652346428763452E-3</v>
      </c>
      <c r="K15" s="463">
        <v>1.6325302937604006E-3</v>
      </c>
      <c r="L15" s="463">
        <v>1.7711987572870311E-3</v>
      </c>
      <c r="M15" s="463">
        <v>2.0903109285992003E-3</v>
      </c>
      <c r="N15" s="463">
        <v>1.0798977442600132E-3</v>
      </c>
      <c r="O15" s="463">
        <v>2.0269237840477398E-3</v>
      </c>
      <c r="P15" s="463">
        <v>1.1401355647453831E-3</v>
      </c>
      <c r="Q15" s="463">
        <v>1.3970648634727852E-3</v>
      </c>
      <c r="R15" s="463">
        <v>1.6741084609058537E-3</v>
      </c>
      <c r="S15" s="464">
        <f>(+'P&amp;L'!S18/'Yields, Margins &amp; Ratios'!$S$27)*4</f>
        <v>2.3773059184800044E-3</v>
      </c>
      <c r="T15" s="355"/>
      <c r="U15" s="465">
        <v>1.8408488522229029E-3</v>
      </c>
      <c r="V15" s="463">
        <v>2.309057585792044E-3</v>
      </c>
      <c r="W15" s="463">
        <v>4.4696554742849649E-3</v>
      </c>
      <c r="X15" s="463">
        <v>2.2627339472700491E-3</v>
      </c>
      <c r="Y15" s="463">
        <v>1.0169405683210333E-3</v>
      </c>
      <c r="Z15" s="463">
        <v>1.635399273453449E-3</v>
      </c>
      <c r="AA15" s="464">
        <v>1.5438764816289043E-3</v>
      </c>
    </row>
    <row r="16" spans="1:29" x14ac:dyDescent="0.25">
      <c r="B16" s="98" t="s">
        <v>73</v>
      </c>
      <c r="C16" s="414">
        <v>3.3037130504961848E-2</v>
      </c>
      <c r="D16" s="414">
        <v>4.9996299984670908E-2</v>
      </c>
      <c r="E16" s="414">
        <v>4.6415406658341762E-2</v>
      </c>
      <c r="F16" s="414">
        <v>5.5178997734326073E-2</v>
      </c>
      <c r="G16" s="286">
        <v>4.0735572348649961E-2</v>
      </c>
      <c r="H16" s="286">
        <v>4.7134022395352637E-2</v>
      </c>
      <c r="I16" s="286">
        <v>4.5129312458447805E-2</v>
      </c>
      <c r="J16" s="286">
        <v>4.8825324444047691E-2</v>
      </c>
      <c r="K16" s="286">
        <v>4.0468984910813063E-2</v>
      </c>
      <c r="L16" s="286">
        <v>4.2542522302171586E-2</v>
      </c>
      <c r="M16" s="286">
        <v>3.9291792052108178E-2</v>
      </c>
      <c r="N16" s="286">
        <v>4.4416349314032794E-2</v>
      </c>
      <c r="O16" s="286">
        <v>3.8506450787486532E-2</v>
      </c>
      <c r="P16" s="286">
        <v>4.4872418717661705E-2</v>
      </c>
      <c r="Q16" s="286">
        <v>4.3340447002911543E-2</v>
      </c>
      <c r="R16" s="286">
        <v>4.234056744350765E-2</v>
      </c>
      <c r="S16" s="287">
        <f>(+'P&amp;L'!S19/'Yields, Margins &amp; Ratios'!$S$27)*4</f>
        <v>3.7819606061159791E-2</v>
      </c>
      <c r="T16" s="239"/>
      <c r="U16" s="462">
        <v>5.33E-2</v>
      </c>
      <c r="V16" s="286">
        <v>4.5472239507842196E-2</v>
      </c>
      <c r="W16" s="286">
        <v>4.2523469088958182E-2</v>
      </c>
      <c r="X16" s="286">
        <v>4.5530268444233496E-2</v>
      </c>
      <c r="Y16" s="286">
        <v>4.4942722266180825E-2</v>
      </c>
      <c r="Z16" s="286">
        <v>4.1727373274514729E-2</v>
      </c>
      <c r="AA16" s="466">
        <v>4.1697913173658223E-2</v>
      </c>
      <c r="AB16" s="208"/>
      <c r="AC16" s="208"/>
    </row>
    <row r="17" spans="2:29" s="243" customFormat="1" x14ac:dyDescent="0.25">
      <c r="B17" s="191" t="s">
        <v>74</v>
      </c>
      <c r="C17" s="353">
        <v>2.6409917720843997E-2</v>
      </c>
      <c r="D17" s="353">
        <v>3.8924397991542438E-2</v>
      </c>
      <c r="E17" s="353">
        <v>3.5802567987426218E-2</v>
      </c>
      <c r="F17" s="353">
        <v>4.3692161398255006E-2</v>
      </c>
      <c r="G17" s="288">
        <v>3.1695730665148233E-2</v>
      </c>
      <c r="H17" s="288">
        <v>3.6539497333966067E-2</v>
      </c>
      <c r="I17" s="288">
        <v>3.50894360897425E-2</v>
      </c>
      <c r="J17" s="288">
        <v>3.9030126357855431E-2</v>
      </c>
      <c r="K17" s="288">
        <v>3.1560452971251915E-2</v>
      </c>
      <c r="L17" s="288">
        <v>3.3080251768748237E-2</v>
      </c>
      <c r="M17" s="288">
        <v>3.0608418985524577E-2</v>
      </c>
      <c r="N17" s="288">
        <v>3.5688246742424719E-2</v>
      </c>
      <c r="O17" s="288">
        <v>3.0351570421508687E-2</v>
      </c>
      <c r="P17" s="288">
        <v>3.4899527649311E-2</v>
      </c>
      <c r="Q17" s="288">
        <v>3.3684470724545619E-2</v>
      </c>
      <c r="R17" s="288">
        <v>3.3675271517441499E-2</v>
      </c>
      <c r="S17" s="289">
        <f>(+'P&amp;L'!S21/'Yields, Margins &amp; Ratios'!$S$27)*4</f>
        <v>2.9396468225945875E-2</v>
      </c>
      <c r="T17" s="355"/>
      <c r="U17" s="467">
        <v>3.6394700938653768E-2</v>
      </c>
      <c r="V17" s="288">
        <v>3.7504300617694421E-2</v>
      </c>
      <c r="W17" s="288">
        <v>3.484097845825309E-2</v>
      </c>
      <c r="X17" s="288">
        <v>3.5714853270755943E-2</v>
      </c>
      <c r="Y17" s="288">
        <v>3.5207194924761737E-2</v>
      </c>
      <c r="Z17" s="288">
        <v>3.2789472494081401E-2</v>
      </c>
      <c r="AA17" s="289">
        <v>3.2677408981324985E-2</v>
      </c>
      <c r="AB17" s="208"/>
      <c r="AC17" s="208"/>
    </row>
    <row r="18" spans="2:29" s="20" customFormat="1" x14ac:dyDescent="0.25">
      <c r="B18" s="98" t="s">
        <v>75</v>
      </c>
      <c r="C18" s="185">
        <v>3.7257274874217061</v>
      </c>
      <c r="D18" s="185">
        <v>3.7580654765449153</v>
      </c>
      <c r="E18" s="185">
        <v>3.8029731185465603</v>
      </c>
      <c r="F18" s="185">
        <v>3.8690418125786645</v>
      </c>
      <c r="G18" s="468">
        <v>3.9414993583582394</v>
      </c>
      <c r="H18" s="468">
        <v>3.9397410543125608</v>
      </c>
      <c r="I18" s="468">
        <v>3.9573353353968814</v>
      </c>
      <c r="J18" s="468">
        <v>4.0476542846741195</v>
      </c>
      <c r="K18" s="468">
        <v>4.1766765736908074</v>
      </c>
      <c r="L18" s="468">
        <v>4.2648187614727409</v>
      </c>
      <c r="M18" s="468">
        <v>4.2669672048548906</v>
      </c>
      <c r="N18" s="468">
        <v>4.3174062558826236</v>
      </c>
      <c r="O18" s="468">
        <v>4.3654483288466635</v>
      </c>
      <c r="P18" s="468">
        <v>4.2604302833516021</v>
      </c>
      <c r="Q18" s="468">
        <v>4.2176063904062406</v>
      </c>
      <c r="R18" s="468">
        <v>4.2661601948633345</v>
      </c>
      <c r="S18" s="469">
        <f>+S19/S17</f>
        <v>4.2715253177883605</v>
      </c>
      <c r="T18" s="470"/>
      <c r="U18" s="471">
        <v>3.1937122853113014</v>
      </c>
      <c r="V18" s="468">
        <v>3.3760909151084313</v>
      </c>
      <c r="W18" s="468">
        <v>3.6933819650119024</v>
      </c>
      <c r="X18" s="468">
        <v>3.8349799574376351</v>
      </c>
      <c r="Y18" s="468">
        <v>4.0193641026151417</v>
      </c>
      <c r="Z18" s="468">
        <v>4.2496223268069508</v>
      </c>
      <c r="AA18" s="469">
        <v>4.319804623109702</v>
      </c>
      <c r="AB18" s="219"/>
      <c r="AC18" s="219"/>
    </row>
    <row r="19" spans="2:29" s="208" customFormat="1" x14ac:dyDescent="0.25">
      <c r="B19" s="191" t="s">
        <v>76</v>
      </c>
      <c r="C19" s="353">
        <v>9.8396156393094097E-2</v>
      </c>
      <c r="D19" s="353">
        <v>0.14628043628730986</v>
      </c>
      <c r="E19" s="353">
        <v>0.13615620363111755</v>
      </c>
      <c r="F19" s="353">
        <v>0.1690467993317841</v>
      </c>
      <c r="G19" s="288">
        <v>0.12492870207937733</v>
      </c>
      <c r="H19" s="288">
        <v>0.14395615775057047</v>
      </c>
      <c r="I19" s="288">
        <v>0.13886066533708857</v>
      </c>
      <c r="J19" s="288">
        <v>0.15798045818374581</v>
      </c>
      <c r="K19" s="288">
        <v>0.13181780458009834</v>
      </c>
      <c r="L19" s="288">
        <v>0.14102347668036413</v>
      </c>
      <c r="M19" s="288">
        <v>0.13060512000369118</v>
      </c>
      <c r="N19" s="288">
        <v>0.15436503632703141</v>
      </c>
      <c r="O19" s="288">
        <v>0.13141293160238238</v>
      </c>
      <c r="P19" s="288">
        <v>0.14868700447179112</v>
      </c>
      <c r="Q19" s="288">
        <v>0.14206783898529554</v>
      </c>
      <c r="R19" s="288">
        <v>0.14366410289892392</v>
      </c>
      <c r="S19" s="289">
        <f>+('P&amp;L'!S21/'Yields, Margins &amp; Ratios'!S28)*4</f>
        <v>0.12556775828068889</v>
      </c>
      <c r="T19" s="355"/>
      <c r="U19" s="467">
        <v>0.1163849583843159</v>
      </c>
      <c r="V19" s="288">
        <v>0.1265943697599336</v>
      </c>
      <c r="W19" s="288">
        <v>0.12905417134585609</v>
      </c>
      <c r="X19" s="288">
        <v>0.1372378740998757</v>
      </c>
      <c r="Y19" s="288">
        <v>0.14092045121152208</v>
      </c>
      <c r="Z19" s="288">
        <v>0.139381951146063</v>
      </c>
      <c r="AA19" s="289">
        <v>0.14116002238877415</v>
      </c>
    </row>
    <row r="20" spans="2:29" s="208" customFormat="1" x14ac:dyDescent="0.25">
      <c r="B20" s="219"/>
      <c r="C20" s="219"/>
      <c r="D20" s="219"/>
      <c r="E20" s="219"/>
      <c r="F20" s="219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2"/>
      <c r="R20" s="242"/>
      <c r="S20" s="242"/>
      <c r="T20" s="240"/>
      <c r="U20" s="413"/>
      <c r="V20" s="413"/>
      <c r="W20" s="413"/>
      <c r="X20" s="413"/>
      <c r="Y20" s="413"/>
      <c r="Z20" s="413"/>
      <c r="AA20" s="240"/>
    </row>
    <row r="21" spans="2:29" x14ac:dyDescent="0.25">
      <c r="B21" s="191" t="s">
        <v>77</v>
      </c>
      <c r="C21" s="404"/>
      <c r="D21" s="404"/>
      <c r="E21" s="404"/>
      <c r="F21" s="404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442"/>
      <c r="R21" s="442"/>
      <c r="S21" s="515"/>
      <c r="U21" s="475"/>
      <c r="V21" s="442"/>
      <c r="W21" s="442"/>
      <c r="X21" s="442"/>
      <c r="Y21" s="442"/>
      <c r="Z21" s="442"/>
      <c r="AA21" s="229"/>
    </row>
    <row r="22" spans="2:29" x14ac:dyDescent="0.25">
      <c r="B22" s="97" t="s">
        <v>78</v>
      </c>
      <c r="C22" s="157">
        <v>0.41529119995323954</v>
      </c>
      <c r="D22" s="157">
        <v>0.4079276842170278</v>
      </c>
      <c r="E22" s="157">
        <v>0.41341638820151178</v>
      </c>
      <c r="F22" s="157">
        <v>0.43728942772527374</v>
      </c>
      <c r="G22" s="237">
        <v>0.46458844782064929</v>
      </c>
      <c r="H22" s="237">
        <v>0.44630232742870762</v>
      </c>
      <c r="I22" s="237">
        <v>0.45684889434889431</v>
      </c>
      <c r="J22" s="237">
        <v>0.41795468981579503</v>
      </c>
      <c r="K22" s="237">
        <v>0.4736534894067409</v>
      </c>
      <c r="L22" s="237">
        <v>0.43917719534122446</v>
      </c>
      <c r="M22" s="237">
        <v>0.45790740178074985</v>
      </c>
      <c r="N22" s="237">
        <v>0.43887212521468444</v>
      </c>
      <c r="O22" s="237">
        <v>0.4504284210400224</v>
      </c>
      <c r="P22" s="237">
        <v>0.40851503603378342</v>
      </c>
      <c r="Q22" s="237">
        <v>0.42238258910653587</v>
      </c>
      <c r="R22" s="237">
        <v>0.45736915239927162</v>
      </c>
      <c r="S22" s="238">
        <f>+'P&amp;L'!S16/'P&amp;L'!S13</f>
        <v>0.46269008059300826</v>
      </c>
      <c r="T22" s="236"/>
      <c r="U22" s="476">
        <v>0.40847620647853894</v>
      </c>
      <c r="V22" s="443">
        <v>0.41455192390942019</v>
      </c>
      <c r="W22" s="443">
        <v>0.39075795693686849</v>
      </c>
      <c r="X22" s="443">
        <v>0.4193873254206657</v>
      </c>
      <c r="Y22" s="443">
        <v>0.44522765922643076</v>
      </c>
      <c r="Z22" s="443">
        <v>0.45210246001334015</v>
      </c>
      <c r="AA22" s="238">
        <v>0.43415697275923615</v>
      </c>
      <c r="AB22" s="244"/>
    </row>
    <row r="23" spans="2:29" s="163" customFormat="1" x14ac:dyDescent="0.25">
      <c r="B23" s="100" t="s">
        <v>79</v>
      </c>
      <c r="C23" s="164">
        <v>2.739059023385515E-2</v>
      </c>
      <c r="D23" s="164">
        <v>3.4323558254679511E-2</v>
      </c>
      <c r="E23" s="164">
        <v>3.4438688018727577E-2</v>
      </c>
      <c r="F23" s="164">
        <v>3.8398324189407813E-2</v>
      </c>
      <c r="G23" s="245">
        <v>3.4521339928064887E-2</v>
      </c>
      <c r="H23" s="245">
        <v>3.6786991886144704E-2</v>
      </c>
      <c r="I23" s="245">
        <v>3.7141589258841763E-2</v>
      </c>
      <c r="J23" s="245">
        <v>3.4895181380735753E-2</v>
      </c>
      <c r="K23" s="245">
        <v>3.6562740809501421E-2</v>
      </c>
      <c r="L23" s="245">
        <v>3.408496802462542E-2</v>
      </c>
      <c r="M23" s="245">
        <v>3.3940700083610081E-2</v>
      </c>
      <c r="N23" s="245">
        <v>3.4067395770190835E-2</v>
      </c>
      <c r="O23" s="245">
        <v>3.1137372221985926E-2</v>
      </c>
      <c r="P23" s="245">
        <v>2.9709769247992606E-2</v>
      </c>
      <c r="Q23" s="245">
        <v>2.9567578317137376E-2</v>
      </c>
      <c r="R23" s="245">
        <v>3.4152370983752643E-2</v>
      </c>
      <c r="S23" s="246">
        <f>+'P&amp;L'!S16/'Yields, Margins &amp; Ratios'!S29*4</f>
        <v>3.1865582514319757E-2</v>
      </c>
      <c r="T23" s="247"/>
      <c r="U23" s="248">
        <v>3.6764908172388214E-2</v>
      </c>
      <c r="V23" s="245">
        <v>3.2718363899950351E-2</v>
      </c>
      <c r="W23" s="245">
        <v>2.9035846644608607E-2</v>
      </c>
      <c r="X23" s="245">
        <v>3.3154352130747758E-2</v>
      </c>
      <c r="Y23" s="245">
        <v>3.5314773245566103E-2</v>
      </c>
      <c r="Z23" s="245">
        <v>3.3977966507008295E-2</v>
      </c>
      <c r="AA23" s="246">
        <v>3.0896645007626511E-2</v>
      </c>
      <c r="AB23" s="244"/>
    </row>
    <row r="24" spans="2:29" x14ac:dyDescent="0.25">
      <c r="B24" s="98" t="s">
        <v>80</v>
      </c>
      <c r="C24" s="185"/>
      <c r="D24" s="185"/>
      <c r="E24" s="185"/>
      <c r="F24" s="185"/>
      <c r="G24" s="249">
        <v>0.50460000000000005</v>
      </c>
      <c r="H24" s="249">
        <v>0.50359999999999994</v>
      </c>
      <c r="I24" s="249">
        <v>0.495</v>
      </c>
      <c r="J24" s="249">
        <v>0.46960000000000002</v>
      </c>
      <c r="K24" s="249">
        <v>0.47320000000000001</v>
      </c>
      <c r="L24" s="231">
        <v>0.48159999999999997</v>
      </c>
      <c r="M24" s="231">
        <v>0.45009999999999994</v>
      </c>
      <c r="N24" s="249">
        <v>0.443</v>
      </c>
      <c r="O24" s="231">
        <v>0.44450000000000001</v>
      </c>
      <c r="P24" s="231">
        <v>0.46479999999999999</v>
      </c>
      <c r="Q24" s="249">
        <v>0.4556</v>
      </c>
      <c r="R24" s="249">
        <v>0.44500000000000001</v>
      </c>
      <c r="S24" s="504">
        <f>43.07%+0.13%</f>
        <v>0.43200000000000005</v>
      </c>
      <c r="T24" s="236"/>
      <c r="U24" s="234">
        <v>0.67769999999999997</v>
      </c>
      <c r="V24" s="231">
        <v>0.55850000000000011</v>
      </c>
      <c r="W24" s="231">
        <v>0.5454</v>
      </c>
      <c r="X24" s="231">
        <v>0.5141</v>
      </c>
      <c r="Y24" s="231">
        <v>0.46960000000000002</v>
      </c>
      <c r="Z24" s="231">
        <v>0.43990000000000001</v>
      </c>
      <c r="AA24" s="232">
        <v>0.44500000000000001</v>
      </c>
    </row>
    <row r="25" spans="2:29" s="205" customFormat="1" x14ac:dyDescent="0.25">
      <c r="B25" s="99" t="s">
        <v>164</v>
      </c>
      <c r="C25" s="406"/>
      <c r="D25" s="406"/>
      <c r="E25" s="406"/>
      <c r="F25" s="406"/>
      <c r="G25" s="250">
        <v>367.9</v>
      </c>
      <c r="H25" s="250">
        <v>383.6</v>
      </c>
      <c r="I25" s="250">
        <v>398.4</v>
      </c>
      <c r="J25" s="250">
        <v>413.6</v>
      </c>
      <c r="K25" s="250">
        <v>428.5</v>
      </c>
      <c r="L25" s="250">
        <v>444.1</v>
      </c>
      <c r="M25" s="250">
        <v>458.9</v>
      </c>
      <c r="N25" s="250">
        <v>476.8</v>
      </c>
      <c r="O25" s="250">
        <v>493</v>
      </c>
      <c r="P25" s="250">
        <v>511.5</v>
      </c>
      <c r="Q25" s="250">
        <v>530.29999999999995</v>
      </c>
      <c r="R25" s="250">
        <v>550.93244965507051</v>
      </c>
      <c r="S25" s="251">
        <v>569.74623159156192</v>
      </c>
      <c r="T25" s="252"/>
      <c r="U25" s="253">
        <v>235.2</v>
      </c>
      <c r="V25" s="250">
        <v>267.89999999999998</v>
      </c>
      <c r="W25" s="250">
        <v>305.89999999999998</v>
      </c>
      <c r="X25" s="250">
        <v>355.8</v>
      </c>
      <c r="Y25" s="254">
        <v>413.6</v>
      </c>
      <c r="Z25" s="254">
        <v>476.8</v>
      </c>
      <c r="AA25" s="251">
        <v>550.93244965507051</v>
      </c>
    </row>
    <row r="26" spans="2:29" x14ac:dyDescent="0.25">
      <c r="O26" s="255"/>
      <c r="P26" s="255"/>
      <c r="Q26" s="239"/>
      <c r="R26" s="239"/>
      <c r="S26" s="239"/>
      <c r="T26" s="255"/>
      <c r="AA26" s="255"/>
    </row>
    <row r="27" spans="2:29" x14ac:dyDescent="0.25">
      <c r="B27" s="97" t="s">
        <v>81</v>
      </c>
      <c r="C27" s="144">
        <v>90712.15</v>
      </c>
      <c r="D27" s="144">
        <v>94668.3</v>
      </c>
      <c r="E27" s="144">
        <v>99553.85</v>
      </c>
      <c r="F27" s="144">
        <v>105899.35</v>
      </c>
      <c r="G27" s="256">
        <v>112601.01570335613</v>
      </c>
      <c r="H27" s="256">
        <v>116939</v>
      </c>
      <c r="I27" s="256">
        <v>122287.4</v>
      </c>
      <c r="J27" s="256">
        <v>129900.15488912954</v>
      </c>
      <c r="K27" s="256">
        <v>139048.45488912956</v>
      </c>
      <c r="L27" s="256">
        <v>147183.79999999999</v>
      </c>
      <c r="M27" s="256">
        <v>152436.54999999999</v>
      </c>
      <c r="N27" s="256">
        <v>159845.81847044517</v>
      </c>
      <c r="O27" s="256">
        <v>167559.34498168109</v>
      </c>
      <c r="P27" s="256">
        <v>169387.67999132921</v>
      </c>
      <c r="Q27" s="256">
        <v>173875.83765704173</v>
      </c>
      <c r="R27" s="256">
        <v>182542.60446160834</v>
      </c>
      <c r="S27" s="257">
        <f>+AVERAGE(BS!R20:S20)</f>
        <v>189455.7987554362</v>
      </c>
      <c r="U27" s="258">
        <v>48334.654357250656</v>
      </c>
      <c r="V27" s="256">
        <v>66419.184411856579</v>
      </c>
      <c r="W27" s="256">
        <v>83085.279840449861</v>
      </c>
      <c r="X27" s="256">
        <v>99902.149989200087</v>
      </c>
      <c r="Y27" s="256">
        <v>122154.57059248569</v>
      </c>
      <c r="Z27" s="256">
        <v>149649.92335957469</v>
      </c>
      <c r="AA27" s="257">
        <v>175689.63875510482</v>
      </c>
    </row>
    <row r="28" spans="2:29" x14ac:dyDescent="0.25">
      <c r="B28" s="98" t="s">
        <v>82</v>
      </c>
      <c r="C28" s="147">
        <v>24347.5</v>
      </c>
      <c r="D28" s="147">
        <v>25190.7</v>
      </c>
      <c r="E28" s="147">
        <v>26177.9</v>
      </c>
      <c r="F28" s="147">
        <v>27370.95</v>
      </c>
      <c r="G28" s="259">
        <v>28568.066480735914</v>
      </c>
      <c r="H28" s="259">
        <v>29681.9</v>
      </c>
      <c r="I28" s="259">
        <v>30901.450000000004</v>
      </c>
      <c r="J28" s="259">
        <v>32092.700056172886</v>
      </c>
      <c r="K28" s="259">
        <v>33291.65005617289</v>
      </c>
      <c r="L28" s="259">
        <v>34511.15</v>
      </c>
      <c r="M28" s="259">
        <v>35724.800000000003</v>
      </c>
      <c r="N28" s="259">
        <v>37023.575961296068</v>
      </c>
      <c r="O28" s="259">
        <v>38383.078291055994</v>
      </c>
      <c r="P28" s="259">
        <v>39758.350383819692</v>
      </c>
      <c r="Q28" s="259">
        <v>41226.188876362634</v>
      </c>
      <c r="R28" s="259">
        <v>42788.502101116261</v>
      </c>
      <c r="S28" s="260">
        <f>+AVERAGE(BS!R8:S8)</f>
        <v>44353.195793190214</v>
      </c>
      <c r="U28" s="261">
        <v>15134.317070311587</v>
      </c>
      <c r="V28" s="259">
        <v>19674.46505714985</v>
      </c>
      <c r="W28" s="259">
        <v>22496.692450109862</v>
      </c>
      <c r="X28" s="259">
        <v>26050.240444007512</v>
      </c>
      <c r="Y28" s="259">
        <v>30391.516536908803</v>
      </c>
      <c r="Z28" s="259">
        <v>35214.876017468952</v>
      </c>
      <c r="AA28" s="260">
        <v>40670.737240109476</v>
      </c>
    </row>
    <row r="29" spans="2:29" x14ac:dyDescent="0.25">
      <c r="B29" s="98" t="s">
        <v>83</v>
      </c>
      <c r="C29" s="147">
        <v>95349.653876310258</v>
      </c>
      <c r="D29" s="147">
        <v>98818.785228300287</v>
      </c>
      <c r="E29" s="147">
        <v>103803.73840668501</v>
      </c>
      <c r="F29" s="147">
        <v>109814.16697697049</v>
      </c>
      <c r="G29" s="259">
        <v>116218.98406666092</v>
      </c>
      <c r="H29" s="259">
        <v>122186.31795099047</v>
      </c>
      <c r="I29" s="259">
        <v>128162.05711210116</v>
      </c>
      <c r="J29" s="259">
        <v>136276.97222362377</v>
      </c>
      <c r="K29" s="259">
        <v>144083.46450222269</v>
      </c>
      <c r="L29" s="259">
        <v>149847.48422572529</v>
      </c>
      <c r="M29" s="259">
        <v>156994.72425362578</v>
      </c>
      <c r="N29" s="259">
        <v>166960.628818664</v>
      </c>
      <c r="O29" s="259">
        <v>175770.642313358</v>
      </c>
      <c r="P29" s="259">
        <v>181185.40910668974</v>
      </c>
      <c r="Q29" s="259">
        <v>188168.24763785448</v>
      </c>
      <c r="R29" s="259">
        <v>198291.12763785449</v>
      </c>
      <c r="S29" s="260">
        <f>+AVERAGE(Operational!R4:S4)</f>
        <v>205799.38</v>
      </c>
      <c r="T29" s="262"/>
      <c r="U29" s="261">
        <v>50073.153890379945</v>
      </c>
      <c r="V29" s="259">
        <v>68688.512163373598</v>
      </c>
      <c r="W29" s="259">
        <v>86251.923386948853</v>
      </c>
      <c r="X29" s="259">
        <v>104022.5250362307</v>
      </c>
      <c r="Y29" s="259">
        <v>127584.3688404031</v>
      </c>
      <c r="Z29" s="259">
        <v>157396.54212479567</v>
      </c>
      <c r="AA29" s="260">
        <v>188664.113206668</v>
      </c>
    </row>
    <row r="30" spans="2:29" x14ac:dyDescent="0.25">
      <c r="B30" s="99" t="s">
        <v>84</v>
      </c>
      <c r="C30" s="202">
        <v>64156.800000000003</v>
      </c>
      <c r="D30" s="202">
        <v>66957.2</v>
      </c>
      <c r="E30" s="202">
        <v>70673.05</v>
      </c>
      <c r="F30" s="202">
        <v>76008.05</v>
      </c>
      <c r="G30" s="263">
        <v>81316.986744156195</v>
      </c>
      <c r="H30" s="263">
        <v>84310.65</v>
      </c>
      <c r="I30" s="263">
        <v>88456.749999999985</v>
      </c>
      <c r="J30" s="263">
        <v>94804.05358339136</v>
      </c>
      <c r="K30" s="263">
        <v>102352.70358339138</v>
      </c>
      <c r="L30" s="263">
        <v>108871.30000000002</v>
      </c>
      <c r="M30" s="263">
        <v>112794.95000000001</v>
      </c>
      <c r="N30" s="263">
        <v>118755.37845938656</v>
      </c>
      <c r="O30" s="263">
        <v>124353.97845938653</v>
      </c>
      <c r="P30" s="263">
        <v>124711.5</v>
      </c>
      <c r="Q30" s="263">
        <v>128941.6209333583</v>
      </c>
      <c r="R30" s="263">
        <v>175815.70223439171</v>
      </c>
      <c r="S30" s="264">
        <f>+AVERAGE(Liabilities!R10:S10)</f>
        <v>181166.77500000002</v>
      </c>
      <c r="T30" s="262"/>
      <c r="U30" s="265">
        <v>29428.659419583557</v>
      </c>
      <c r="V30" s="263">
        <v>45026.431692662911</v>
      </c>
      <c r="W30" s="263">
        <v>58487.291516734353</v>
      </c>
      <c r="X30" s="263">
        <v>71589.60098781118</v>
      </c>
      <c r="Y30" s="263">
        <v>89065.940327547549</v>
      </c>
      <c r="Z30" s="263">
        <v>110885.93204277792</v>
      </c>
      <c r="AA30" s="264">
        <v>167510.32500000001</v>
      </c>
    </row>
    <row r="31" spans="2:29" x14ac:dyDescent="0.25">
      <c r="K31" s="252"/>
      <c r="L31" s="252"/>
      <c r="M31" s="252"/>
      <c r="N31" s="252"/>
      <c r="O31" s="252"/>
      <c r="P31" s="252"/>
      <c r="Q31" s="252"/>
      <c r="R31" s="252"/>
      <c r="S31" s="252"/>
      <c r="AA31" s="252"/>
    </row>
    <row r="32" spans="2:29" x14ac:dyDescent="0.25">
      <c r="M32" s="252"/>
      <c r="P32" s="255"/>
      <c r="Q32" s="252"/>
      <c r="R32" s="252"/>
      <c r="S32" s="252"/>
      <c r="AA32" s="255"/>
    </row>
    <row r="33" spans="13:27" x14ac:dyDescent="0.25">
      <c r="M33" s="239"/>
      <c r="N33" s="239"/>
      <c r="O33" s="239"/>
      <c r="P33" s="239"/>
      <c r="Q33" s="239"/>
      <c r="R33" s="239"/>
      <c r="S33" s="239"/>
      <c r="V33" s="239"/>
      <c r="W33" s="239"/>
      <c r="X33" s="239"/>
      <c r="Y33" s="239"/>
      <c r="Z33" s="239"/>
      <c r="AA33" s="239"/>
    </row>
    <row r="34" spans="13:27" x14ac:dyDescent="0.25">
      <c r="M34" s="239"/>
      <c r="N34" s="239"/>
      <c r="O34" s="239"/>
      <c r="P34" s="239"/>
      <c r="Q34" s="239"/>
      <c r="R34" s="239"/>
      <c r="S34" s="239"/>
      <c r="T34" s="351"/>
      <c r="AA34" s="239"/>
    </row>
    <row r="35" spans="13:27" x14ac:dyDescent="0.25">
      <c r="M35" s="239"/>
      <c r="O35" s="239"/>
      <c r="Q35" s="239"/>
      <c r="R35" s="239"/>
      <c r="S35" s="239"/>
    </row>
    <row r="36" spans="13:27" x14ac:dyDescent="0.25">
      <c r="O36" s="239"/>
      <c r="V36" s="354"/>
    </row>
  </sheetData>
  <hyperlinks>
    <hyperlink ref="A1" location="Index!A1" display="Index" xr:uid="{00000000-0004-0000-05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B28"/>
  <sheetViews>
    <sheetView showGridLines="0" zoomScale="80" zoomScaleNormal="8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S3" sqref="S3"/>
    </sheetView>
  </sheetViews>
  <sheetFormatPr defaultColWidth="9.140625" defaultRowHeight="15" x14ac:dyDescent="0.25"/>
  <cols>
    <col min="1" max="1" width="7.28515625" style="113" bestFit="1" customWidth="1"/>
    <col min="2" max="2" width="44.140625" style="291" bestFit="1" customWidth="1"/>
    <col min="3" max="6" width="10" style="291" customWidth="1"/>
    <col min="7" max="19" width="9.85546875" style="292" bestFit="1" customWidth="1"/>
    <col min="20" max="20" width="4.85546875" style="369" bestFit="1" customWidth="1"/>
    <col min="21" max="22" width="9.85546875" style="293" bestFit="1" customWidth="1"/>
    <col min="23" max="23" width="8.7109375" style="293" bestFit="1" customWidth="1"/>
    <col min="24" max="25" width="10.42578125" style="293" bestFit="1" customWidth="1"/>
    <col min="26" max="26" width="10.140625" style="293" customWidth="1"/>
    <col min="27" max="27" width="9.85546875" style="292" bestFit="1" customWidth="1"/>
    <col min="28" max="28" width="10.140625" style="362" bestFit="1" customWidth="1"/>
    <col min="29" max="16384" width="9.140625" style="113"/>
  </cols>
  <sheetData>
    <row r="1" spans="1:28" x14ac:dyDescent="0.25">
      <c r="A1" s="290" t="s">
        <v>0</v>
      </c>
    </row>
    <row r="3" spans="1:28" s="133" customFormat="1" x14ac:dyDescent="0.25">
      <c r="B3" s="141" t="s">
        <v>162</v>
      </c>
      <c r="C3" s="107" t="s">
        <v>178</v>
      </c>
      <c r="D3" s="107" t="s">
        <v>179</v>
      </c>
      <c r="E3" s="107" t="s">
        <v>180</v>
      </c>
      <c r="F3" s="107" t="s">
        <v>181</v>
      </c>
      <c r="G3" s="134" t="s">
        <v>108</v>
      </c>
      <c r="H3" s="134" t="s">
        <v>107</v>
      </c>
      <c r="I3" s="134" t="s">
        <v>106</v>
      </c>
      <c r="J3" s="134" t="s">
        <v>105</v>
      </c>
      <c r="K3" s="134" t="s">
        <v>1</v>
      </c>
      <c r="L3" s="134" t="s">
        <v>2</v>
      </c>
      <c r="M3" s="134" t="s">
        <v>3</v>
      </c>
      <c r="N3" s="134" t="s">
        <v>96</v>
      </c>
      <c r="O3" s="134" t="s">
        <v>97</v>
      </c>
      <c r="P3" s="134" t="s">
        <v>131</v>
      </c>
      <c r="Q3" s="105" t="s">
        <v>174</v>
      </c>
      <c r="R3" s="105" t="s">
        <v>238</v>
      </c>
      <c r="S3" s="137" t="s">
        <v>252</v>
      </c>
      <c r="T3" s="370"/>
      <c r="U3" s="135" t="s">
        <v>6</v>
      </c>
      <c r="V3" s="134" t="s">
        <v>7</v>
      </c>
      <c r="W3" s="134" t="s">
        <v>8</v>
      </c>
      <c r="X3" s="134" t="s">
        <v>9</v>
      </c>
      <c r="Y3" s="134" t="s">
        <v>10</v>
      </c>
      <c r="Z3" s="134" t="s">
        <v>98</v>
      </c>
      <c r="AA3" s="105" t="s">
        <v>239</v>
      </c>
      <c r="AB3" s="363"/>
    </row>
    <row r="4" spans="1:28" x14ac:dyDescent="0.25">
      <c r="B4" s="110" t="s">
        <v>152</v>
      </c>
      <c r="C4" s="417"/>
      <c r="D4" s="417"/>
      <c r="E4" s="417"/>
      <c r="F4" s="417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5"/>
      <c r="U4" s="296"/>
      <c r="V4" s="297"/>
      <c r="W4" s="297"/>
      <c r="X4" s="297"/>
      <c r="Y4" s="297"/>
      <c r="Z4" s="297"/>
      <c r="AA4" s="295"/>
    </row>
    <row r="5" spans="1:28" x14ac:dyDescent="0.25">
      <c r="B5" s="111" t="s">
        <v>118</v>
      </c>
      <c r="C5" s="362">
        <v>28066.6</v>
      </c>
      <c r="D5" s="362">
        <v>32502</v>
      </c>
      <c r="E5" s="362">
        <v>35390.700000000004</v>
      </c>
      <c r="F5" s="362">
        <v>38875.300000000003</v>
      </c>
      <c r="G5" s="298">
        <v>40624</v>
      </c>
      <c r="H5" s="298">
        <v>45879.6</v>
      </c>
      <c r="I5" s="298">
        <v>49235.4</v>
      </c>
      <c r="J5" s="298">
        <v>56305.200000000004</v>
      </c>
      <c r="K5" s="298">
        <v>62395.4</v>
      </c>
      <c r="L5" s="298">
        <v>69827.315846070007</v>
      </c>
      <c r="M5" s="298">
        <v>68101.3</v>
      </c>
      <c r="N5" s="299">
        <v>73889.600000000006</v>
      </c>
      <c r="O5" s="299">
        <v>75543.100000000006</v>
      </c>
      <c r="P5" s="299">
        <v>81790</v>
      </c>
      <c r="Q5" s="299">
        <v>86524.3</v>
      </c>
      <c r="R5" s="299">
        <v>91426.5</v>
      </c>
      <c r="S5" s="300">
        <v>88836.5</v>
      </c>
      <c r="U5" s="301">
        <v>20417.2</v>
      </c>
      <c r="V5" s="302">
        <v>29673</v>
      </c>
      <c r="W5" s="302">
        <v>28218.9</v>
      </c>
      <c r="X5" s="302">
        <v>38875.300000000003</v>
      </c>
      <c r="Y5" s="302">
        <v>56305.200000000004</v>
      </c>
      <c r="Z5" s="302">
        <v>73889.600000000006</v>
      </c>
      <c r="AA5" s="300">
        <v>91426.5</v>
      </c>
    </row>
    <row r="6" spans="1:28" x14ac:dyDescent="0.25">
      <c r="B6" s="98" t="s">
        <v>241</v>
      </c>
      <c r="C6" s="8">
        <v>19260.8</v>
      </c>
      <c r="D6" s="8">
        <v>20051.830998748403</v>
      </c>
      <c r="E6" s="8">
        <v>21805.788162304529</v>
      </c>
      <c r="F6" s="8">
        <v>23472.382224448014</v>
      </c>
      <c r="G6" s="298">
        <v>23575</v>
      </c>
      <c r="H6" s="298">
        <v>25186.252696940996</v>
      </c>
      <c r="I6" s="298">
        <v>25965.426776555109</v>
      </c>
      <c r="J6" s="298">
        <v>27566.399999999998</v>
      </c>
      <c r="K6" s="298">
        <v>28025.143004242993</v>
      </c>
      <c r="L6" s="298">
        <v>29281.599999999999</v>
      </c>
      <c r="M6" s="298">
        <v>35046.703686170957</v>
      </c>
      <c r="N6" s="299">
        <v>37170</v>
      </c>
      <c r="O6" s="299">
        <v>37870</v>
      </c>
      <c r="P6" s="299">
        <v>40510</v>
      </c>
      <c r="Q6" s="299">
        <v>42726.818468783385</v>
      </c>
      <c r="R6" s="299">
        <v>45235</v>
      </c>
      <c r="S6" s="300">
        <v>45332</v>
      </c>
      <c r="U6" s="301">
        <v>13546.399999999998</v>
      </c>
      <c r="V6" s="302">
        <v>17304.5</v>
      </c>
      <c r="W6" s="302">
        <v>20052.900000000001</v>
      </c>
      <c r="X6" s="302">
        <v>23472.400000000001</v>
      </c>
      <c r="Y6" s="302">
        <v>27566.399999999998</v>
      </c>
      <c r="Z6" s="302">
        <v>37170</v>
      </c>
      <c r="AA6" s="300">
        <v>45235</v>
      </c>
    </row>
    <row r="7" spans="1:28" x14ac:dyDescent="0.25">
      <c r="B7" s="111" t="s">
        <v>120</v>
      </c>
      <c r="C7" s="362">
        <v>20278.947</v>
      </c>
      <c r="D7" s="362">
        <v>20330.097999999998</v>
      </c>
      <c r="E7" s="362">
        <v>21025.193000000003</v>
      </c>
      <c r="F7" s="362">
        <v>22067.5</v>
      </c>
      <c r="G7" s="298">
        <v>24021.199999999997</v>
      </c>
      <c r="H7" s="298">
        <v>22545</v>
      </c>
      <c r="I7" s="298">
        <v>25696.903000000002</v>
      </c>
      <c r="J7" s="298">
        <v>26028.699999999997</v>
      </c>
      <c r="K7" s="298">
        <v>28437.3</v>
      </c>
      <c r="L7" s="298">
        <v>25717.910000000003</v>
      </c>
      <c r="M7" s="298">
        <v>27271.388000000003</v>
      </c>
      <c r="N7" s="299">
        <v>30415.8</v>
      </c>
      <c r="O7" s="299">
        <v>30989.425282051285</v>
      </c>
      <c r="P7" s="299">
        <v>29151.468999999994</v>
      </c>
      <c r="Q7" s="299">
        <v>27351.936000000009</v>
      </c>
      <c r="R7" s="299">
        <v>25767.85</v>
      </c>
      <c r="S7" s="300">
        <v>26108.2</v>
      </c>
      <c r="U7" s="301">
        <v>8972.2000000000007</v>
      </c>
      <c r="V7" s="302">
        <v>9512.9</v>
      </c>
      <c r="W7" s="302">
        <v>18723.900000000001</v>
      </c>
      <c r="X7" s="302">
        <v>22067.5</v>
      </c>
      <c r="Y7" s="302">
        <v>26028.699999999997</v>
      </c>
      <c r="Z7" s="302">
        <v>30415.8</v>
      </c>
      <c r="AA7" s="300">
        <v>25767.85</v>
      </c>
    </row>
    <row r="8" spans="1:28" x14ac:dyDescent="0.25">
      <c r="B8" s="98" t="s">
        <v>237</v>
      </c>
      <c r="C8" s="362">
        <v>15594</v>
      </c>
      <c r="D8" s="362">
        <v>15544</v>
      </c>
      <c r="E8" s="362">
        <v>13984</v>
      </c>
      <c r="F8" s="362">
        <v>18192.2</v>
      </c>
      <c r="G8" s="298">
        <v>16542.2</v>
      </c>
      <c r="H8" s="298">
        <v>16100.3</v>
      </c>
      <c r="I8" s="298">
        <v>15750.3</v>
      </c>
      <c r="J8" s="298">
        <v>15308.5</v>
      </c>
      <c r="K8" s="298">
        <v>14958.461538461539</v>
      </c>
      <c r="L8" s="298">
        <v>16016.6</v>
      </c>
      <c r="M8" s="298">
        <v>14591.615384615383</v>
      </c>
      <c r="N8" s="299">
        <v>14074.8</v>
      </c>
      <c r="O8" s="299">
        <v>13649.8</v>
      </c>
      <c r="P8" s="299">
        <v>9680</v>
      </c>
      <c r="Q8" s="299">
        <v>15557.9</v>
      </c>
      <c r="R8" s="299">
        <v>17041.099999999999</v>
      </c>
      <c r="S8" s="300">
        <v>20616.100000000002</v>
      </c>
      <c r="U8" s="301">
        <v>5400</v>
      </c>
      <c r="V8" s="302">
        <v>12794</v>
      </c>
      <c r="W8" s="302">
        <v>15744</v>
      </c>
      <c r="X8" s="302">
        <v>18192.2</v>
      </c>
      <c r="Y8" s="302">
        <v>15308.5</v>
      </c>
      <c r="Z8" s="302">
        <v>14074.8</v>
      </c>
      <c r="AA8" s="300">
        <v>17041.099999999999</v>
      </c>
    </row>
    <row r="9" spans="1:28" x14ac:dyDescent="0.25">
      <c r="B9" s="111" t="s">
        <v>122</v>
      </c>
      <c r="C9" s="431">
        <v>0</v>
      </c>
      <c r="D9" s="431">
        <v>0</v>
      </c>
      <c r="E9" s="431">
        <v>0</v>
      </c>
      <c r="F9" s="431">
        <v>0</v>
      </c>
      <c r="G9" s="298">
        <v>0</v>
      </c>
      <c r="H9" s="298">
        <v>0</v>
      </c>
      <c r="I9" s="298">
        <v>0</v>
      </c>
      <c r="J9" s="298">
        <v>0</v>
      </c>
      <c r="K9" s="298">
        <v>0</v>
      </c>
      <c r="L9" s="298">
        <v>0</v>
      </c>
      <c r="M9" s="298">
        <v>0</v>
      </c>
      <c r="N9" s="299">
        <v>0</v>
      </c>
      <c r="O9" s="299">
        <v>0</v>
      </c>
      <c r="P9" s="299">
        <v>0</v>
      </c>
      <c r="Q9" s="299">
        <v>0</v>
      </c>
      <c r="R9" s="299">
        <v>0</v>
      </c>
      <c r="S9" s="300">
        <v>1970.3</v>
      </c>
      <c r="U9" s="301">
        <v>0</v>
      </c>
      <c r="V9" s="302">
        <v>245.7</v>
      </c>
      <c r="W9" s="302">
        <v>0</v>
      </c>
      <c r="X9" s="302">
        <v>0</v>
      </c>
      <c r="Y9" s="302">
        <v>0</v>
      </c>
      <c r="Z9" s="302">
        <v>0</v>
      </c>
      <c r="AA9" s="300">
        <v>0</v>
      </c>
    </row>
    <row r="10" spans="1:28" x14ac:dyDescent="0.25">
      <c r="B10" s="191" t="s">
        <v>171</v>
      </c>
      <c r="C10" s="303">
        <v>83200.346999999994</v>
      </c>
      <c r="D10" s="303">
        <v>88427.928998748393</v>
      </c>
      <c r="E10" s="303">
        <v>92205.681162304536</v>
      </c>
      <c r="F10" s="303">
        <v>102607.38222444801</v>
      </c>
      <c r="G10" s="303">
        <v>104762.4</v>
      </c>
      <c r="H10" s="303">
        <v>109711.152696941</v>
      </c>
      <c r="I10" s="303">
        <v>116648.02977655512</v>
      </c>
      <c r="J10" s="303">
        <v>125208.8</v>
      </c>
      <c r="K10" s="303">
        <v>133816.30454270454</v>
      </c>
      <c r="L10" s="303">
        <v>140843.42584607002</v>
      </c>
      <c r="M10" s="303">
        <v>145011.00707078635</v>
      </c>
      <c r="N10" s="303">
        <v>155550.19999999998</v>
      </c>
      <c r="O10" s="303">
        <v>158052.32528205129</v>
      </c>
      <c r="P10" s="303">
        <v>161131.46899999998</v>
      </c>
      <c r="Q10" s="303">
        <v>172160.9544687834</v>
      </c>
      <c r="R10" s="303">
        <v>179470.45</v>
      </c>
      <c r="S10" s="374">
        <f>SUM(S5:S9)</f>
        <v>182863.1</v>
      </c>
      <c r="U10" s="304">
        <v>48335.8</v>
      </c>
      <c r="V10" s="305">
        <v>69530.099999999991</v>
      </c>
      <c r="W10" s="305">
        <v>82739.700000000012</v>
      </c>
      <c r="X10" s="305">
        <v>102607.40000000001</v>
      </c>
      <c r="Y10" s="305">
        <v>125208.8</v>
      </c>
      <c r="Z10" s="305">
        <v>155550.19999999998</v>
      </c>
      <c r="AA10" s="374">
        <v>179470.45</v>
      </c>
      <c r="AB10" s="364"/>
    </row>
    <row r="11" spans="1:28" s="340" customFormat="1" x14ac:dyDescent="0.25">
      <c r="B11" s="348" t="s">
        <v>173</v>
      </c>
      <c r="C11" s="428">
        <v>127</v>
      </c>
      <c r="D11" s="428">
        <v>124.9</v>
      </c>
      <c r="E11" s="428">
        <v>126.7</v>
      </c>
      <c r="F11" s="428">
        <v>125.9</v>
      </c>
      <c r="G11" s="341">
        <v>127.2</v>
      </c>
      <c r="H11" s="341">
        <v>127</v>
      </c>
      <c r="I11" s="341">
        <v>127</v>
      </c>
      <c r="J11" s="341">
        <v>128</v>
      </c>
      <c r="K11" s="341">
        <v>125.20743671967718</v>
      </c>
      <c r="L11" s="341">
        <v>129.98665284656911</v>
      </c>
      <c r="M11" s="341">
        <v>130.0096721969924</v>
      </c>
      <c r="N11" s="341">
        <v>132.17824873051885</v>
      </c>
      <c r="O11" s="341">
        <v>131</v>
      </c>
      <c r="P11" s="341">
        <v>136.08599616387255</v>
      </c>
      <c r="Q11" s="341">
        <v>130</v>
      </c>
      <c r="R11" s="341">
        <v>130</v>
      </c>
      <c r="S11" s="342">
        <v>126</v>
      </c>
      <c r="T11" s="382"/>
      <c r="U11" s="343">
        <v>143</v>
      </c>
      <c r="V11" s="341">
        <v>134</v>
      </c>
      <c r="W11" s="341">
        <v>130</v>
      </c>
      <c r="X11" s="341">
        <v>125.9</v>
      </c>
      <c r="Y11" s="341">
        <v>128</v>
      </c>
      <c r="Z11" s="341">
        <v>132.17824873051885</v>
      </c>
      <c r="AA11" s="342">
        <v>130</v>
      </c>
      <c r="AB11" s="365"/>
    </row>
    <row r="12" spans="1:28" s="344" customFormat="1" x14ac:dyDescent="0.25">
      <c r="B12" s="368" t="s">
        <v>172</v>
      </c>
      <c r="C12" s="427">
        <v>0</v>
      </c>
      <c r="D12" s="427">
        <v>1749</v>
      </c>
      <c r="E12" s="427">
        <v>2981</v>
      </c>
      <c r="F12" s="427">
        <v>3054</v>
      </c>
      <c r="G12" s="345">
        <v>1424</v>
      </c>
      <c r="H12" s="345">
        <v>2967</v>
      </c>
      <c r="I12" s="345">
        <v>2234</v>
      </c>
      <c r="J12" s="345">
        <v>2916</v>
      </c>
      <c r="K12" s="345">
        <v>2001</v>
      </c>
      <c r="L12" s="345">
        <v>3284</v>
      </c>
      <c r="M12" s="345">
        <v>3173</v>
      </c>
      <c r="N12" s="345">
        <v>3970</v>
      </c>
      <c r="O12" s="345">
        <v>2303</v>
      </c>
      <c r="P12" s="345">
        <v>4343.7</v>
      </c>
      <c r="Q12" s="345">
        <v>4043.5288961700003</v>
      </c>
      <c r="R12" s="345">
        <v>4535.7</v>
      </c>
      <c r="S12" s="346">
        <v>3767.0787630111099</v>
      </c>
      <c r="T12" s="371"/>
      <c r="U12" s="347">
        <v>6802</v>
      </c>
      <c r="V12" s="345">
        <v>6647</v>
      </c>
      <c r="W12" s="345">
        <v>5496</v>
      </c>
      <c r="X12" s="345">
        <v>7784</v>
      </c>
      <c r="Y12" s="345">
        <v>9541</v>
      </c>
      <c r="Z12" s="345">
        <v>12428</v>
      </c>
      <c r="AA12" s="346">
        <v>15225.92889617</v>
      </c>
      <c r="AB12" s="366"/>
    </row>
    <row r="13" spans="1:28" x14ac:dyDescent="0.25">
      <c r="B13" s="114"/>
      <c r="C13" s="114"/>
      <c r="D13" s="114"/>
      <c r="E13" s="114"/>
      <c r="F13" s="114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U13" s="307"/>
      <c r="V13" s="307"/>
      <c r="W13" s="307"/>
      <c r="X13" s="307"/>
      <c r="Y13" s="307"/>
      <c r="Z13" s="307"/>
      <c r="AA13" s="306"/>
    </row>
    <row r="14" spans="1:28" x14ac:dyDescent="0.25">
      <c r="B14" s="112" t="s">
        <v>153</v>
      </c>
      <c r="C14" s="410"/>
      <c r="D14" s="410"/>
      <c r="E14" s="410"/>
      <c r="F14" s="410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9"/>
      <c r="U14" s="310"/>
      <c r="V14" s="311"/>
      <c r="W14" s="311"/>
      <c r="X14" s="311"/>
      <c r="Y14" s="311"/>
      <c r="Z14" s="311"/>
      <c r="AA14" s="309"/>
    </row>
    <row r="15" spans="1:28" s="313" customFormat="1" x14ac:dyDescent="0.25">
      <c r="B15" s="115" t="s">
        <v>118</v>
      </c>
      <c r="C15" s="424">
        <v>0.33700000000000002</v>
      </c>
      <c r="D15" s="424">
        <v>0.36799999999999999</v>
      </c>
      <c r="E15" s="424">
        <v>0.38400000000000001</v>
      </c>
      <c r="F15" s="424">
        <v>0.379</v>
      </c>
      <c r="G15" s="314">
        <v>0.38777271234717803</v>
      </c>
      <c r="H15" s="314">
        <v>0.41818537926344496</v>
      </c>
      <c r="I15" s="314">
        <v>0.42208514018035936</v>
      </c>
      <c r="J15" s="314">
        <v>0.4496904370938784</v>
      </c>
      <c r="K15" s="314">
        <v>0.46627651401095055</v>
      </c>
      <c r="L15" s="314">
        <v>0.49577973147561299</v>
      </c>
      <c r="M15" s="314">
        <v>0.46962848804130236</v>
      </c>
      <c r="N15" s="314">
        <v>0.47502092572044274</v>
      </c>
      <c r="O15" s="314">
        <v>0.4779625979256556</v>
      </c>
      <c r="P15" s="314">
        <v>0.50759792924124592</v>
      </c>
      <c r="Q15" s="314">
        <v>0.50257795251529447</v>
      </c>
      <c r="R15" s="314">
        <v>0.50942369621294203</v>
      </c>
      <c r="S15" s="315">
        <f>+S5/$S$10</f>
        <v>0.48580878263575317</v>
      </c>
      <c r="T15" s="372"/>
      <c r="U15" s="316">
        <v>0.42240327045378373</v>
      </c>
      <c r="V15" s="317">
        <v>0.42676481121125964</v>
      </c>
      <c r="W15" s="317">
        <v>0.34105634900779186</v>
      </c>
      <c r="X15" s="317">
        <v>0.37887423324243669</v>
      </c>
      <c r="Y15" s="317">
        <v>0.4496904370938784</v>
      </c>
      <c r="Z15" s="446">
        <v>0.47502092572044274</v>
      </c>
      <c r="AA15" s="329">
        <v>0.50942369621294203</v>
      </c>
      <c r="AB15" s="367"/>
    </row>
    <row r="16" spans="1:28" s="313" customFormat="1" x14ac:dyDescent="0.25">
      <c r="B16" s="111" t="s">
        <v>119</v>
      </c>
      <c r="C16" s="425">
        <v>0.23100000000000001</v>
      </c>
      <c r="D16" s="425">
        <v>0.22700000000000001</v>
      </c>
      <c r="E16" s="425">
        <v>0.23599999999999999</v>
      </c>
      <c r="F16" s="425">
        <v>0.22900000000000001</v>
      </c>
      <c r="G16" s="318">
        <v>0.22503302711659909</v>
      </c>
      <c r="H16" s="318">
        <v>0.22956875465991933</v>
      </c>
      <c r="I16" s="318">
        <v>0.22259635954669038</v>
      </c>
      <c r="J16" s="318">
        <v>0.22016343899150856</v>
      </c>
      <c r="K16" s="318">
        <v>0.20942995773208922</v>
      </c>
      <c r="L16" s="318">
        <v>0.20790178756374697</v>
      </c>
      <c r="M16" s="318">
        <v>0.2416830583699284</v>
      </c>
      <c r="N16" s="318">
        <v>0.23895822699038641</v>
      </c>
      <c r="O16" s="318">
        <v>0.23960419394285612</v>
      </c>
      <c r="P16" s="318">
        <v>0.25140961136523871</v>
      </c>
      <c r="Q16" s="318">
        <v>0.248179493431716</v>
      </c>
      <c r="R16" s="318">
        <v>0.25204706401527383</v>
      </c>
      <c r="S16" s="319">
        <f t="shared" ref="S16:S19" si="0">+S6/$S$10</f>
        <v>0.24790129884049869</v>
      </c>
      <c r="T16" s="372"/>
      <c r="U16" s="320">
        <v>0.28025604210543731</v>
      </c>
      <c r="V16" s="321">
        <v>0.24887782413659698</v>
      </c>
      <c r="W16" s="321">
        <v>0.24236128484874853</v>
      </c>
      <c r="X16" s="321">
        <v>0.22875932924915746</v>
      </c>
      <c r="Y16" s="321">
        <v>0.22016343899150856</v>
      </c>
      <c r="Z16" s="444">
        <v>0.23895822699038641</v>
      </c>
      <c r="AA16" s="496">
        <v>0.25204706401527383</v>
      </c>
      <c r="AB16" s="367"/>
    </row>
    <row r="17" spans="2:28" s="313" customFormat="1" x14ac:dyDescent="0.25">
      <c r="B17" s="111" t="s">
        <v>120</v>
      </c>
      <c r="C17" s="425">
        <v>0.24399999999999999</v>
      </c>
      <c r="D17" s="425">
        <v>0.23</v>
      </c>
      <c r="E17" s="425">
        <v>0.22800000000000001</v>
      </c>
      <c r="F17" s="425">
        <v>0.215</v>
      </c>
      <c r="G17" s="318">
        <v>0.22929218880056201</v>
      </c>
      <c r="H17" s="318">
        <v>0.20549414937127541</v>
      </c>
      <c r="I17" s="318">
        <v>0.22029435944373554</v>
      </c>
      <c r="J17" s="318">
        <v>0.20788235331701924</v>
      </c>
      <c r="K17" s="318">
        <v>0.21250997849013875</v>
      </c>
      <c r="L17" s="318">
        <v>0.18259929311935019</v>
      </c>
      <c r="M17" s="318">
        <v>0.18806426181626074</v>
      </c>
      <c r="N17" s="318">
        <v>0.1955368749124077</v>
      </c>
      <c r="O17" s="318">
        <v>0.19607066980349261</v>
      </c>
      <c r="P17" s="318">
        <v>0.18091729182956803</v>
      </c>
      <c r="Q17" s="318">
        <v>0.15887421212548819</v>
      </c>
      <c r="R17" s="318">
        <v>0.143577118127246</v>
      </c>
      <c r="S17" s="319">
        <f t="shared" si="0"/>
        <v>0.14277456742229569</v>
      </c>
      <c r="T17" s="372"/>
      <c r="U17" s="320">
        <v>0.18562225100236265</v>
      </c>
      <c r="V17" s="321">
        <v>0.13681700443405087</v>
      </c>
      <c r="W17" s="321">
        <v>0.22629886257745677</v>
      </c>
      <c r="X17" s="321">
        <v>0.21506733432481476</v>
      </c>
      <c r="Y17" s="321">
        <v>0.20788235331701924</v>
      </c>
      <c r="Z17" s="444">
        <v>0.1955368749124077</v>
      </c>
      <c r="AA17" s="496">
        <v>0.143577118127246</v>
      </c>
      <c r="AB17" s="367"/>
    </row>
    <row r="18" spans="2:28" s="313" customFormat="1" x14ac:dyDescent="0.25">
      <c r="B18" s="111" t="s">
        <v>121</v>
      </c>
      <c r="C18" s="425">
        <v>0.187</v>
      </c>
      <c r="D18" s="425">
        <v>0.17599999999999999</v>
      </c>
      <c r="E18" s="425">
        <v>0.152</v>
      </c>
      <c r="F18" s="425">
        <v>0.17699999999999999</v>
      </c>
      <c r="G18" s="318">
        <v>0.1579020717356609</v>
      </c>
      <c r="H18" s="318">
        <v>0.14675171670536019</v>
      </c>
      <c r="I18" s="318">
        <v>0.13502414082921463</v>
      </c>
      <c r="J18" s="318">
        <v>0.12226377059759377</v>
      </c>
      <c r="K18" s="318">
        <v>0.11178354976682138</v>
      </c>
      <c r="L18" s="318">
        <v>0.11371918784128975</v>
      </c>
      <c r="M18" s="318">
        <v>0.10062419177250843</v>
      </c>
      <c r="N18" s="318">
        <v>9.0483972376763269E-2</v>
      </c>
      <c r="O18" s="318">
        <v>8.6362538327995703E-2</v>
      </c>
      <c r="P18" s="318">
        <v>6.0075167563947429E-2</v>
      </c>
      <c r="Q18" s="318">
        <v>9.0368341927501289E-2</v>
      </c>
      <c r="R18" s="318">
        <v>9.4952121644538132E-2</v>
      </c>
      <c r="S18" s="319">
        <f t="shared" si="0"/>
        <v>0.11274062399685886</v>
      </c>
      <c r="T18" s="372"/>
      <c r="U18" s="320">
        <v>0.11171843643841624</v>
      </c>
      <c r="V18" s="321">
        <v>0.18400663885137519</v>
      </c>
      <c r="W18" s="321">
        <v>0.19028350356600274</v>
      </c>
      <c r="X18" s="321">
        <v>0.17729910318359104</v>
      </c>
      <c r="Y18" s="321">
        <v>0.12226377059759377</v>
      </c>
      <c r="Z18" s="444">
        <v>9.0483972376763269E-2</v>
      </c>
      <c r="AA18" s="496">
        <v>9.4952121644538132E-2</v>
      </c>
      <c r="AB18" s="367"/>
    </row>
    <row r="19" spans="2:28" x14ac:dyDescent="0.25">
      <c r="B19" s="111" t="s">
        <v>122</v>
      </c>
      <c r="C19" s="425"/>
      <c r="D19" s="425"/>
      <c r="E19" s="425"/>
      <c r="F19" s="425"/>
      <c r="G19" s="298">
        <v>0</v>
      </c>
      <c r="H19" s="298">
        <v>0</v>
      </c>
      <c r="I19" s="298">
        <v>0</v>
      </c>
      <c r="J19" s="298">
        <v>0</v>
      </c>
      <c r="K19" s="298">
        <v>0</v>
      </c>
      <c r="L19" s="298">
        <v>0</v>
      </c>
      <c r="M19" s="298">
        <v>0</v>
      </c>
      <c r="N19" s="298">
        <v>0</v>
      </c>
      <c r="O19" s="298">
        <v>0</v>
      </c>
      <c r="P19" s="298">
        <v>0</v>
      </c>
      <c r="Q19" s="298">
        <v>0</v>
      </c>
      <c r="R19" s="298">
        <v>0</v>
      </c>
      <c r="S19" s="319">
        <f t="shared" si="0"/>
        <v>1.0774727104593545E-2</v>
      </c>
      <c r="U19" s="301">
        <v>0</v>
      </c>
      <c r="V19" s="321">
        <v>3.5337213667174364E-3</v>
      </c>
      <c r="W19" s="302">
        <v>0</v>
      </c>
      <c r="X19" s="302">
        <v>0</v>
      </c>
      <c r="Y19" s="302">
        <v>0</v>
      </c>
      <c r="Z19" s="445">
        <v>0</v>
      </c>
      <c r="AA19" s="322">
        <v>0</v>
      </c>
    </row>
    <row r="20" spans="2:28" x14ac:dyDescent="0.25">
      <c r="B20" s="112" t="s">
        <v>85</v>
      </c>
      <c r="C20" s="426">
        <v>0.99900000000000011</v>
      </c>
      <c r="D20" s="426">
        <v>1.0009999999999999</v>
      </c>
      <c r="E20" s="426">
        <v>1</v>
      </c>
      <c r="F20" s="426">
        <v>1</v>
      </c>
      <c r="G20" s="323">
        <v>1</v>
      </c>
      <c r="H20" s="323">
        <v>1</v>
      </c>
      <c r="I20" s="323">
        <v>1</v>
      </c>
      <c r="J20" s="323">
        <v>0.99999999999999989</v>
      </c>
      <c r="K20" s="323">
        <v>0.99999999999999989</v>
      </c>
      <c r="L20" s="323">
        <v>0.99999999999999989</v>
      </c>
      <c r="M20" s="323">
        <v>0.99999999999999989</v>
      </c>
      <c r="N20" s="323">
        <v>1</v>
      </c>
      <c r="O20" s="323">
        <v>1</v>
      </c>
      <c r="P20" s="323">
        <v>1.0000000000000002</v>
      </c>
      <c r="Q20" s="323">
        <v>1</v>
      </c>
      <c r="R20" s="323">
        <v>1</v>
      </c>
      <c r="S20" s="324">
        <f>SUM(S15:S19)</f>
        <v>0.99999999999999989</v>
      </c>
      <c r="T20" s="373"/>
      <c r="U20" s="455">
        <v>1</v>
      </c>
      <c r="V20" s="323">
        <v>1.0000000000000002</v>
      </c>
      <c r="W20" s="323">
        <v>1</v>
      </c>
      <c r="X20" s="323">
        <v>1</v>
      </c>
      <c r="Y20" s="323">
        <v>0.99999999999999989</v>
      </c>
      <c r="Z20" s="323">
        <v>1</v>
      </c>
      <c r="AA20" s="324">
        <v>1</v>
      </c>
    </row>
    <row r="21" spans="2:28" x14ac:dyDescent="0.25">
      <c r="B21" s="114"/>
      <c r="C21" s="114"/>
      <c r="D21" s="114"/>
      <c r="E21" s="114"/>
      <c r="F21" s="114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73"/>
      <c r="U21" s="327"/>
      <c r="V21" s="327"/>
      <c r="W21" s="327"/>
      <c r="X21" s="327"/>
      <c r="Y21" s="327"/>
      <c r="Z21" s="327"/>
      <c r="AA21" s="326"/>
    </row>
    <row r="22" spans="2:28" x14ac:dyDescent="0.25">
      <c r="B22" s="112" t="s">
        <v>136</v>
      </c>
      <c r="C22" s="410"/>
      <c r="D22" s="410"/>
      <c r="E22" s="410"/>
      <c r="F22" s="410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308"/>
      <c r="S22" s="309"/>
      <c r="T22" s="373"/>
      <c r="U22" s="310"/>
      <c r="V22" s="311"/>
      <c r="W22" s="311"/>
      <c r="X22" s="311"/>
      <c r="Y22" s="311"/>
      <c r="Z22" s="311"/>
      <c r="AA22" s="309"/>
    </row>
    <row r="23" spans="2:28" s="369" customFormat="1" x14ac:dyDescent="0.25">
      <c r="B23" s="375" t="s">
        <v>135</v>
      </c>
      <c r="C23" s="418">
        <v>0.41091061841404364</v>
      </c>
      <c r="D23" s="418">
        <v>0.42618618952496795</v>
      </c>
      <c r="E23" s="418">
        <v>0.43165652717039116</v>
      </c>
      <c r="F23" s="418">
        <v>0.43775908385103268</v>
      </c>
      <c r="G23" s="328">
        <v>0.33081938827230795</v>
      </c>
      <c r="H23" s="328">
        <v>0.29912273450131216</v>
      </c>
      <c r="I23" s="328">
        <v>0.30607289354471251</v>
      </c>
      <c r="J23" s="377">
        <v>0.28498750089849773</v>
      </c>
      <c r="K23" s="377">
        <v>0.30952950319842171</v>
      </c>
      <c r="L23" s="328">
        <v>0.27</v>
      </c>
      <c r="M23" s="328">
        <v>0.26765650219727555</v>
      </c>
      <c r="N23" s="328">
        <v>0.2674358502914172</v>
      </c>
      <c r="O23" s="328">
        <v>0.27</v>
      </c>
      <c r="P23" s="328">
        <v>0.24052439698090167</v>
      </c>
      <c r="Q23" s="328">
        <v>0.22511143783782411</v>
      </c>
      <c r="R23" s="328">
        <v>0.19120217515244139</v>
      </c>
      <c r="S23" s="329">
        <v>0.21165341722851685</v>
      </c>
      <c r="T23" s="373"/>
      <c r="U23" s="330">
        <v>0.32865081368261206</v>
      </c>
      <c r="V23" s="331">
        <v>0.32935423558176324</v>
      </c>
      <c r="W23" s="331">
        <v>0.36616928290685474</v>
      </c>
      <c r="X23" s="331">
        <v>0.32430117126055236</v>
      </c>
      <c r="Y23" s="331">
        <v>0.28498635878628342</v>
      </c>
      <c r="Z23" s="331">
        <v>0.2674358502914172</v>
      </c>
      <c r="AA23" s="329">
        <v>0.19120217515244139</v>
      </c>
      <c r="AB23" s="362"/>
    </row>
    <row r="24" spans="2:28" s="369" customFormat="1" x14ac:dyDescent="0.25">
      <c r="B24" s="376" t="s">
        <v>151</v>
      </c>
      <c r="C24" s="419">
        <v>0.58908938158595636</v>
      </c>
      <c r="D24" s="419">
        <v>0.5738138104750321</v>
      </c>
      <c r="E24" s="419">
        <v>0.56834347282960884</v>
      </c>
      <c r="F24" s="419">
        <v>0.56224091614896732</v>
      </c>
      <c r="G24" s="333">
        <v>0.66918061172769217</v>
      </c>
      <c r="H24" s="333">
        <v>0.7008772654986879</v>
      </c>
      <c r="I24" s="333">
        <v>0.69392710645528743</v>
      </c>
      <c r="J24" s="378">
        <v>0.71501249910150233</v>
      </c>
      <c r="K24" s="378">
        <v>0.69047049680157824</v>
      </c>
      <c r="L24" s="333">
        <v>0.73</v>
      </c>
      <c r="M24" s="333">
        <v>0.73234349780272434</v>
      </c>
      <c r="N24" s="333">
        <v>0.73256414970858275</v>
      </c>
      <c r="O24" s="333">
        <v>0.73</v>
      </c>
      <c r="P24" s="333">
        <v>0.75947560301909833</v>
      </c>
      <c r="Q24" s="333">
        <v>0.77488856216217583</v>
      </c>
      <c r="R24" s="333">
        <v>0.80879782484755869</v>
      </c>
      <c r="S24" s="334">
        <v>0.78834658277148317</v>
      </c>
      <c r="T24" s="373"/>
      <c r="U24" s="335">
        <v>0.67134918631738794</v>
      </c>
      <c r="V24" s="336">
        <v>0.67064576441823676</v>
      </c>
      <c r="W24" s="336">
        <v>0.6338307170931452</v>
      </c>
      <c r="X24" s="336">
        <v>0.67569882873944764</v>
      </c>
      <c r="Y24" s="336">
        <v>0.71501364121371658</v>
      </c>
      <c r="Z24" s="336">
        <v>0.73256414970858275</v>
      </c>
      <c r="AA24" s="334">
        <v>0.80879782484755869</v>
      </c>
      <c r="AB24" s="362"/>
    </row>
    <row r="25" spans="2:28" x14ac:dyDescent="0.25">
      <c r="B25" s="117"/>
      <c r="C25" s="117"/>
      <c r="D25" s="117"/>
      <c r="E25" s="117"/>
      <c r="F25" s="117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73"/>
      <c r="U25" s="339"/>
      <c r="V25" s="339"/>
      <c r="W25" s="339"/>
      <c r="X25" s="339"/>
      <c r="Y25" s="339"/>
      <c r="Z25" s="339"/>
      <c r="AA25" s="338"/>
    </row>
    <row r="26" spans="2:28" x14ac:dyDescent="0.25">
      <c r="B26" s="420" t="s">
        <v>86</v>
      </c>
      <c r="C26" s="421"/>
      <c r="D26" s="421"/>
      <c r="E26" s="421"/>
      <c r="F26" s="421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3"/>
      <c r="U26" s="310"/>
      <c r="V26" s="311"/>
      <c r="W26" s="311"/>
      <c r="X26" s="311"/>
      <c r="Y26" s="311"/>
      <c r="Z26" s="311"/>
      <c r="AA26" s="423"/>
    </row>
    <row r="27" spans="2:28" ht="30" x14ac:dyDescent="0.25">
      <c r="B27" s="115" t="s">
        <v>87</v>
      </c>
      <c r="C27" s="118" t="s">
        <v>155</v>
      </c>
      <c r="D27" s="118" t="s">
        <v>155</v>
      </c>
      <c r="E27" s="118" t="s">
        <v>155</v>
      </c>
      <c r="F27" s="118" t="s">
        <v>155</v>
      </c>
      <c r="G27" s="118" t="s">
        <v>155</v>
      </c>
      <c r="H27" s="118" t="s">
        <v>154</v>
      </c>
      <c r="I27" s="118" t="s">
        <v>154</v>
      </c>
      <c r="J27" s="118" t="s">
        <v>154</v>
      </c>
      <c r="K27" s="118" t="s">
        <v>154</v>
      </c>
      <c r="L27" s="118" t="s">
        <v>154</v>
      </c>
      <c r="M27" s="118" t="s">
        <v>154</v>
      </c>
      <c r="N27" s="118" t="s">
        <v>154</v>
      </c>
      <c r="O27" s="118" t="s">
        <v>154</v>
      </c>
      <c r="P27" s="118" t="s">
        <v>154</v>
      </c>
      <c r="Q27" s="118" t="s">
        <v>154</v>
      </c>
      <c r="R27" s="118" t="s">
        <v>154</v>
      </c>
      <c r="S27" s="119" t="s">
        <v>154</v>
      </c>
      <c r="U27" s="120" t="s">
        <v>127</v>
      </c>
      <c r="V27" s="118" t="s">
        <v>127</v>
      </c>
      <c r="W27" s="118" t="s">
        <v>127</v>
      </c>
      <c r="X27" s="118" t="s">
        <v>126</v>
      </c>
      <c r="Y27" s="118" t="s">
        <v>126</v>
      </c>
      <c r="Z27" s="118" t="s">
        <v>125</v>
      </c>
      <c r="AA27" s="119" t="s">
        <v>125</v>
      </c>
    </row>
    <row r="28" spans="2:28" ht="30" x14ac:dyDescent="0.25">
      <c r="B28" s="116" t="s">
        <v>88</v>
      </c>
      <c r="C28" s="121" t="s">
        <v>155</v>
      </c>
      <c r="D28" s="121" t="s">
        <v>155</v>
      </c>
      <c r="E28" s="121" t="s">
        <v>155</v>
      </c>
      <c r="F28" s="121" t="s">
        <v>155</v>
      </c>
      <c r="G28" s="121" t="s">
        <v>154</v>
      </c>
      <c r="H28" s="121" t="s">
        <v>154</v>
      </c>
      <c r="I28" s="121" t="s">
        <v>154</v>
      </c>
      <c r="J28" s="121" t="s">
        <v>154</v>
      </c>
      <c r="K28" s="121" t="s">
        <v>154</v>
      </c>
      <c r="L28" s="121" t="s">
        <v>154</v>
      </c>
      <c r="M28" s="121" t="s">
        <v>154</v>
      </c>
      <c r="N28" s="121" t="s">
        <v>154</v>
      </c>
      <c r="O28" s="121" t="s">
        <v>154</v>
      </c>
      <c r="P28" s="121" t="s">
        <v>154</v>
      </c>
      <c r="Q28" s="121" t="s">
        <v>154</v>
      </c>
      <c r="R28" s="121" t="s">
        <v>154</v>
      </c>
      <c r="S28" s="122" t="s">
        <v>154</v>
      </c>
      <c r="U28" s="123" t="s">
        <v>128</v>
      </c>
      <c r="V28" s="121" t="s">
        <v>128</v>
      </c>
      <c r="W28" s="121" t="s">
        <v>127</v>
      </c>
      <c r="X28" s="121" t="s">
        <v>126</v>
      </c>
      <c r="Y28" s="121" t="s">
        <v>126</v>
      </c>
      <c r="Z28" s="121" t="s">
        <v>125</v>
      </c>
      <c r="AA28" s="122" t="s">
        <v>125</v>
      </c>
    </row>
  </sheetData>
  <hyperlinks>
    <hyperlink ref="A1" location="Index!A1" display="Index" xr:uid="{00000000-0004-0000-0600-000000000000}"/>
  </hyperlinks>
  <pageMargins left="0.7" right="0.7" top="0.75" bottom="0.75" header="0.3" footer="0.3"/>
  <pageSetup orientation="portrait" r:id="rId1"/>
  <headerFooter>
    <oddHeader>&amp;C&amp;"Calibri"&amp;11&amp;K008061 PRIVATE</oddHeader>
    <oddFooter>&amp;C&amp;"Calibri"&amp;11&amp;K008061 PRIVATE</oddFooter>
    <evenHeader>&amp;C&amp;"Calibri"&amp;11&amp;K008061 PRIVATE</evenHeader>
    <evenFooter>&amp;C&amp;"Calibri"&amp;11&amp;K008061 PRIVATE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FB966-0CE6-42D8-8731-5CC78BE711E1}">
  <sheetPr>
    <tabColor rgb="FF00B050"/>
  </sheetPr>
  <dimension ref="A1:P206"/>
  <sheetViews>
    <sheetView showGridLines="0" zoomScale="80" zoomScaleNormal="80" workbookViewId="0"/>
  </sheetViews>
  <sheetFormatPr defaultRowHeight="15.75" x14ac:dyDescent="0.25"/>
  <cols>
    <col min="1" max="1" width="6.140625" style="395" customWidth="1"/>
    <col min="2" max="16384" width="9.140625" style="395"/>
  </cols>
  <sheetData>
    <row r="1" spans="1:16" x14ac:dyDescent="0.25">
      <c r="A1" s="398" t="s">
        <v>0</v>
      </c>
      <c r="P1" s="394" t="s">
        <v>228</v>
      </c>
    </row>
    <row r="3" spans="1:16" x14ac:dyDescent="0.25">
      <c r="A3" s="394" t="s">
        <v>227</v>
      </c>
    </row>
    <row r="18" spans="1:1" x14ac:dyDescent="0.25">
      <c r="A18" s="396" t="s">
        <v>206</v>
      </c>
    </row>
    <row r="19" spans="1:1" x14ac:dyDescent="0.25">
      <c r="A19" s="396"/>
    </row>
    <row r="32" spans="1:1" x14ac:dyDescent="0.25">
      <c r="A32" s="396" t="s">
        <v>229</v>
      </c>
    </row>
    <row r="46" spans="1:1" x14ac:dyDescent="0.25">
      <c r="A46" s="396" t="s">
        <v>207</v>
      </c>
    </row>
    <row r="61" spans="1:1" x14ac:dyDescent="0.25">
      <c r="A61" s="396" t="s">
        <v>215</v>
      </c>
    </row>
    <row r="76" spans="1:1" x14ac:dyDescent="0.25">
      <c r="A76" s="396" t="s">
        <v>222</v>
      </c>
    </row>
    <row r="106" spans="1:1" x14ac:dyDescent="0.25">
      <c r="A106" s="396" t="s">
        <v>226</v>
      </c>
    </row>
    <row r="126" spans="1:1" x14ac:dyDescent="0.25">
      <c r="A126" s="396" t="s">
        <v>230</v>
      </c>
    </row>
    <row r="141" spans="1:1" x14ac:dyDescent="0.25">
      <c r="A141" s="396" t="s">
        <v>231</v>
      </c>
    </row>
    <row r="187" spans="1:1" x14ac:dyDescent="0.25">
      <c r="A187" s="396" t="s">
        <v>236</v>
      </c>
    </row>
    <row r="204" spans="1:1" x14ac:dyDescent="0.25">
      <c r="A204" s="396"/>
    </row>
    <row r="205" spans="1:1" x14ac:dyDescent="0.25">
      <c r="A205" s="396"/>
    </row>
    <row r="206" spans="1:1" x14ac:dyDescent="0.25">
      <c r="A206" s="396"/>
    </row>
  </sheetData>
  <hyperlinks>
    <hyperlink ref="A1" location="Index!A1" display="Index" xr:uid="{2ACC72BC-5B85-4606-BE44-8BEF5CC04097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2024-03-26 20:11:53</KDate>
  <Classification>PRIVATE</Classification>
  <Subclassification/>
  <HostName>MH-AFL1882</HostName>
  <Domain_User>AAVAS/rakesh.shinde</Domain_User>
  <IPAdd>192.168.29.225</IPAdd>
  <FilePath>C:\Users\rakesh.shinde\AppData\Roaming\Klassify\17621\ISFC Factsheet_Q3FY24.xlsx</FilePath>
  <KID>C475ABCF099A638470807132570251</KID>
  <UniqueName>Indian Uniform Bank Account Number</UniqueName>
  <Suggested>PRIVATE</Suggested>
</Klassify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7 m V V W s i A H 7 C m A A A A 9 w A A A B I A H A B D b 2 5 m a W c v U G F j a 2 F n Z S 5 4 b W w g o h g A K K A U A A A A A A A A A A A A A A A A A A A A A A A A A A A A h Y 8 x D o I w G I W v Q r r T F h g E U s r g Z C L G x M S 4 N q V C I / w Y W i x 3 c / B I X k G M o m 6 O 7 3 v f 8 N 7 9 e m P 5 2 D b e R f V G d 5 C h A F P k K Z B d q a H K 0 G C P f o x y z r Z C n k S l v E k G k 4 6 m z F B t 7 T k l x D m H X Y S 7 v i I h p Q E 5 F O u d r F U r 0 E f W / 2 V f g 7 E C p E K c 7 V 9 j e I i D K M F B v E g w Z W S m r N D w N c J p 8 L P 9 g W w 5 N H b o F V f g r z a M z J G R 9 w n + A F B L A w Q U A A I A C A D u Z V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m V V W i i K R 7 g O A A A A E Q A A A B M A H A B G b 3 J t d W x h c y 9 T Z W N 0 a W 9 u M S 5 t I K I Y A C i g F A A A A A A A A A A A A A A A A A A A A A A A A A A A A C t O T S 7 J z M 9 T C I b Q h t Y A U E s B A i 0 A F A A C A A g A 7 m V V W s i A H 7 C m A A A A 9 w A A A B I A A A A A A A A A A A A A A A A A A A A A A E N v b m Z p Z y 9 Q Y W N r Y W d l L n h t b F B L A Q I t A B Q A A g A I A O 5 l V V o P y u m r p A A A A O k A A A A T A A A A A A A A A A A A A A A A A P I A A A B b Q 2 9 u d G V u d F 9 U e X B l c 1 0 u e G 1 s U E s B A i 0 A F A A C A A g A 7 m V V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x s + B S r s j p H v d e n v i P 3 d k Y A A A A A A g A A A A A A A 2 Y A A M A A A A A Q A A A A I H S Q W V r M K a i M O U G W w e a K A Q A A A A A E g A A A o A A A A B A A A A B 1 c l O 4 a 8 i U M t P G 8 k I E Z Q B 1 U A A A A J l h o y S F 1 w M u I k T 7 j e T g 1 k 5 E h 4 D v T n i + T N N T d v w C q i F 2 1 i H + k W v y d B z g y N g J k a R o y E f 0 p f m + a 0 B 3 L P Y n g A Z I r s 7 k 6 E e X k l Q T b 0 R / 9 H 8 h Q L w M F A A A A O A 4 Z + k x d v 0 b Y Y r H 0 b w q R g y 9 P G J L < / D a t a M a s h u p > 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customXml/itemProps2.xml><?xml version="1.0" encoding="utf-8"?>
<ds:datastoreItem xmlns:ds="http://schemas.openxmlformats.org/officeDocument/2006/customXml" ds:itemID="{FC59A90F-4FC6-47C5-9407-55BAAC8D00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Data for Charts</vt:lpstr>
      <vt:lpstr>P&amp;L</vt:lpstr>
      <vt:lpstr>BS</vt:lpstr>
      <vt:lpstr>Operational</vt:lpstr>
      <vt:lpstr>Credit Quality</vt:lpstr>
      <vt:lpstr>Yields, Margins &amp; Ratios</vt:lpstr>
      <vt:lpstr>Liabilities</vt:lpstr>
      <vt:lpstr>Story in Charts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Rahul Rajagopalan</dc:creator>
  <cp:keywords/>
  <dc:description/>
  <cp:lastModifiedBy>OMKAR KAMTEKAR</cp:lastModifiedBy>
  <cp:revision/>
  <cp:lastPrinted>2025-07-26T15:18:42Z</cp:lastPrinted>
  <dcterms:created xsi:type="dcterms:W3CDTF">2023-10-25T10:26:38Z</dcterms:created>
  <dcterms:modified xsi:type="dcterms:W3CDTF">2025-08-12T09:26:53Z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PRIVATE</vt:lpwstr>
  </property>
  <property fmtid="{D5CDD505-2E9C-101B-9397-08002B2CF9AE}" pid="3" name="KID">
    <vt:lpwstr>C475ABCF099A638470807132570251</vt:lpwstr>
  </property>
  <property fmtid="{D5CDD505-2E9C-101B-9397-08002B2CF9AE}" pid="4" name="Rules">
    <vt:lpwstr>Indian Uniform Bank Account Number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